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OWV-cloud-delovna\PZS\KVGN 2024\Zbor\"/>
    </mc:Choice>
  </mc:AlternateContent>
  <xr:revisionPtr revIDLastSave="0" documentId="13_ncr:1_{1870F25E-D276-4DBA-B6B5-3D8235FBA1AB}" xr6:coauthVersionLast="47" xr6:coauthVersionMax="47" xr10:uidLastSave="{00000000-0000-0000-0000-000000000000}"/>
  <bookViews>
    <workbookView xWindow="2610" yWindow="2490" windowWidth="25575" windowHeight="11295" tabRatio="594" firstSheet="4" activeTab="4" xr2:uid="{00000000-000D-0000-FFFF-FFFF00000000}"/>
  </bookViews>
  <sheets>
    <sheet name="PZS_2015_osnutek_končni" sheetId="1" state="hidden" r:id="rId1"/>
    <sheet name="poročilojan-apr2015-osnutek" sheetId="4" state="hidden" r:id="rId2"/>
    <sheet name="rebalans2015,poročilo1-4" sheetId="6" state="hidden" r:id="rId3"/>
    <sheet name="NAČRT_UPOŠT. BOJANOVE PRIP." sheetId="12" state="hidden" r:id="rId4"/>
    <sheet name="POROČILO 2023" sheetId="32" r:id="rId5"/>
  </sheets>
  <definedNames>
    <definedName name="_xlnm._FilterDatabase" localSheetId="1" hidden="1">'poročilojan-apr2015-osnutek'!$A$2:$AF$580</definedName>
  </definedNames>
  <calcPr calcId="191029"/>
</workbook>
</file>

<file path=xl/calcChain.xml><?xml version="1.0" encoding="utf-8"?>
<calcChain xmlns="http://schemas.openxmlformats.org/spreadsheetml/2006/main">
  <c r="H17" i="32" l="1"/>
  <c r="G17" i="32"/>
  <c r="H15" i="32"/>
  <c r="G15" i="32"/>
  <c r="H13" i="32"/>
  <c r="G13" i="32"/>
  <c r="H11" i="32"/>
  <c r="G11" i="32"/>
  <c r="H9" i="32"/>
  <c r="G9" i="32"/>
  <c r="H8" i="32"/>
  <c r="G8" i="32"/>
  <c r="K17" i="32" l="1"/>
  <c r="M17" i="32" s="1"/>
  <c r="K15" i="32"/>
  <c r="M15" i="32" s="1"/>
  <c r="K13" i="32"/>
  <c r="M13" i="32" s="1"/>
  <c r="K11" i="32"/>
  <c r="M11" i="32" s="1"/>
  <c r="K9" i="32"/>
  <c r="M9" i="32" s="1"/>
  <c r="K8" i="32"/>
  <c r="M8" i="32" s="1"/>
  <c r="O7" i="32"/>
  <c r="P7" i="32"/>
  <c r="Q7" i="32"/>
  <c r="R7" i="32"/>
  <c r="S7" i="32"/>
  <c r="T7" i="32"/>
  <c r="U7" i="32"/>
  <c r="V7" i="32"/>
  <c r="W7" i="32"/>
  <c r="X7" i="32"/>
  <c r="O10" i="32"/>
  <c r="P10" i="32"/>
  <c r="Q10" i="32"/>
  <c r="R10" i="32"/>
  <c r="S10" i="32"/>
  <c r="T10" i="32"/>
  <c r="U10" i="32"/>
  <c r="V10" i="32"/>
  <c r="W10" i="32"/>
  <c r="X10" i="32"/>
  <c r="O12" i="32"/>
  <c r="P12" i="32"/>
  <c r="Q12" i="32"/>
  <c r="R12" i="32"/>
  <c r="S12" i="32"/>
  <c r="T12" i="32"/>
  <c r="U12" i="32"/>
  <c r="V12" i="32"/>
  <c r="W12" i="32"/>
  <c r="X12" i="32"/>
  <c r="O14" i="32"/>
  <c r="P14" i="32"/>
  <c r="Q14" i="32"/>
  <c r="R14" i="32"/>
  <c r="S14" i="32"/>
  <c r="T14" i="32"/>
  <c r="U14" i="32"/>
  <c r="V14" i="32"/>
  <c r="W14" i="32"/>
  <c r="X14" i="32"/>
  <c r="O16" i="32"/>
  <c r="P16" i="32"/>
  <c r="Q16" i="32"/>
  <c r="R16" i="32"/>
  <c r="S16" i="32"/>
  <c r="T16" i="32"/>
  <c r="U16" i="32"/>
  <c r="V16" i="32"/>
  <c r="W16" i="32"/>
  <c r="X16" i="32"/>
  <c r="E7" i="32"/>
  <c r="E10" i="32"/>
  <c r="E12" i="32"/>
  <c r="E14" i="32"/>
  <c r="E16" i="32"/>
  <c r="F16" i="32"/>
  <c r="F14" i="32"/>
  <c r="F12" i="32"/>
  <c r="F10" i="32"/>
  <c r="F7" i="32"/>
  <c r="L17" i="32"/>
  <c r="L15" i="32"/>
  <c r="L13" i="32"/>
  <c r="L11" i="32"/>
  <c r="L9" i="32"/>
  <c r="L8" i="32"/>
  <c r="Z7" i="32"/>
  <c r="AA7" i="32"/>
  <c r="AB7" i="32"/>
  <c r="AC7" i="32"/>
  <c r="AD7" i="32"/>
  <c r="AE7" i="32"/>
  <c r="AF7" i="32"/>
  <c r="AG7" i="32"/>
  <c r="AH7" i="32"/>
  <c r="Z10" i="32"/>
  <c r="AA10" i="32"/>
  <c r="AB10" i="32"/>
  <c r="AC10" i="32"/>
  <c r="AD10" i="32"/>
  <c r="AE10" i="32"/>
  <c r="AF10" i="32"/>
  <c r="AG10" i="32"/>
  <c r="AH10" i="32"/>
  <c r="Z12" i="32"/>
  <c r="AA12" i="32"/>
  <c r="AB12" i="32"/>
  <c r="AC12" i="32"/>
  <c r="AD12" i="32"/>
  <c r="AE12" i="32"/>
  <c r="AF12" i="32"/>
  <c r="AG12" i="32"/>
  <c r="AH12" i="32"/>
  <c r="Z14" i="32"/>
  <c r="AA14" i="32"/>
  <c r="AB14" i="32"/>
  <c r="AC14" i="32"/>
  <c r="AD14" i="32"/>
  <c r="AE14" i="32"/>
  <c r="AF14" i="32"/>
  <c r="AG14" i="32"/>
  <c r="AH14" i="32"/>
  <c r="Z16" i="32"/>
  <c r="AA16" i="32"/>
  <c r="AB16" i="32"/>
  <c r="AC16" i="32"/>
  <c r="AD16" i="32"/>
  <c r="AE16" i="32"/>
  <c r="AF16" i="32"/>
  <c r="AG16" i="32"/>
  <c r="AH16" i="32"/>
  <c r="Y16" i="32"/>
  <c r="Y14" i="32"/>
  <c r="Y12" i="32"/>
  <c r="Y10" i="32"/>
  <c r="Y7" i="32"/>
  <c r="H7" i="32" l="1"/>
  <c r="G7" i="32"/>
  <c r="H16" i="32"/>
  <c r="G16" i="32"/>
  <c r="H12" i="32"/>
  <c r="G12" i="32"/>
  <c r="G10" i="32"/>
  <c r="H10" i="32"/>
  <c r="H14" i="32"/>
  <c r="G14" i="32"/>
  <c r="W5" i="32"/>
  <c r="K16" i="32"/>
  <c r="M16" i="32" s="1"/>
  <c r="K7" i="32"/>
  <c r="M7" i="32" s="1"/>
  <c r="K12" i="32"/>
  <c r="M12" i="32" s="1"/>
  <c r="K14" i="32"/>
  <c r="M14" i="32" s="1"/>
  <c r="K10" i="32"/>
  <c r="M10" i="32" s="1"/>
  <c r="Q5" i="32"/>
  <c r="X5" i="32"/>
  <c r="P5" i="32"/>
  <c r="R5" i="32"/>
  <c r="T5" i="32"/>
  <c r="V5" i="32"/>
  <c r="O5" i="32"/>
  <c r="S5" i="32"/>
  <c r="U5" i="32"/>
  <c r="AA5" i="32"/>
  <c r="L7" i="32"/>
  <c r="AC5" i="32"/>
  <c r="L12" i="32"/>
  <c r="F5" i="32"/>
  <c r="L14" i="32"/>
  <c r="L16" i="32"/>
  <c r="AG5" i="32"/>
  <c r="AH5" i="32"/>
  <c r="Z5" i="32"/>
  <c r="L10" i="32"/>
  <c r="AB5" i="32"/>
  <c r="AE5" i="32"/>
  <c r="AF5" i="32"/>
  <c r="Y5" i="32"/>
  <c r="AD5" i="32"/>
  <c r="E5" i="32"/>
  <c r="H5" i="32" l="1"/>
  <c r="G5" i="32"/>
  <c r="K5" i="32"/>
  <c r="L5" i="32"/>
  <c r="N5" i="32" l="1"/>
  <c r="M5" i="32"/>
  <c r="J695" i="12" l="1"/>
  <c r="J691" i="12"/>
  <c r="J641" i="12"/>
  <c r="J639" i="12"/>
  <c r="J637" i="12"/>
  <c r="J633" i="12"/>
  <c r="J634" i="12"/>
  <c r="J629" i="12"/>
  <c r="J630" i="12"/>
  <c r="J620" i="12"/>
  <c r="J616" i="12"/>
  <c r="J612" i="12"/>
  <c r="J594" i="12"/>
  <c r="J591" i="12"/>
  <c r="J588" i="12"/>
  <c r="J584" i="12"/>
  <c r="J580" i="12"/>
  <c r="J575" i="12"/>
  <c r="J524" i="12"/>
  <c r="J516" i="12"/>
  <c r="J511" i="12"/>
  <c r="J512" i="12"/>
  <c r="J500" i="12"/>
  <c r="J501" i="12"/>
  <c r="J502" i="12"/>
  <c r="J503" i="12"/>
  <c r="J504" i="12"/>
  <c r="J505" i="12"/>
  <c r="J506" i="12"/>
  <c r="J494" i="12"/>
  <c r="J479" i="12"/>
  <c r="J480" i="12"/>
  <c r="J481" i="12"/>
  <c r="J482" i="12"/>
  <c r="J483" i="12"/>
  <c r="J484" i="12"/>
  <c r="J472" i="12"/>
  <c r="J467" i="12"/>
  <c r="J464" i="12"/>
  <c r="J458" i="12"/>
  <c r="J455" i="12"/>
  <c r="J452" i="12"/>
  <c r="J445" i="12"/>
  <c r="J377" i="12"/>
  <c r="J379" i="12"/>
  <c r="J374" i="12"/>
  <c r="J370" i="12"/>
  <c r="J367" i="12"/>
  <c r="J364" i="12"/>
  <c r="J360" i="12"/>
  <c r="J347" i="12"/>
  <c r="J344" i="12"/>
  <c r="J339" i="12"/>
  <c r="J340" i="12"/>
  <c r="J291" i="12"/>
  <c r="J266" i="12"/>
  <c r="J267" i="12"/>
  <c r="J269" i="12"/>
  <c r="J257" i="12"/>
  <c r="J258" i="12"/>
  <c r="J259" i="12"/>
  <c r="J260" i="12"/>
  <c r="J261" i="12"/>
  <c r="J262" i="12"/>
  <c r="J263" i="12"/>
  <c r="J264" i="12"/>
  <c r="J254" i="12"/>
  <c r="J252" i="12"/>
  <c r="J244" i="12"/>
  <c r="J245" i="12"/>
  <c r="J246" i="12"/>
  <c r="J241" i="12"/>
  <c r="J242" i="12"/>
  <c r="J235" i="12"/>
  <c r="J228" i="12"/>
  <c r="J229" i="12"/>
  <c r="J230" i="12"/>
  <c r="J223" i="12"/>
  <c r="J224" i="12"/>
  <c r="J225" i="12"/>
  <c r="J226" i="12"/>
  <c r="J213" i="12"/>
  <c r="J215" i="12"/>
  <c r="J216" i="12"/>
  <c r="J217" i="12"/>
  <c r="J211" i="12"/>
  <c r="J198" i="12"/>
  <c r="J199" i="12"/>
  <c r="J200" i="12"/>
  <c r="J201" i="12"/>
  <c r="J202" i="12"/>
  <c r="J192" i="12"/>
  <c r="J182" i="12"/>
  <c r="J152" i="12"/>
  <c r="J154" i="12"/>
  <c r="J146" i="12"/>
  <c r="J138" i="12"/>
  <c r="J126" i="12"/>
  <c r="J128" i="12"/>
  <c r="J120" i="12"/>
  <c r="J99" i="12"/>
  <c r="J75" i="12"/>
  <c r="J58" i="12"/>
  <c r="J53" i="12"/>
  <c r="J43" i="12"/>
  <c r="J46" i="12"/>
  <c r="J39" i="12"/>
  <c r="J36" i="12"/>
  <c r="J37" i="12"/>
  <c r="J22" i="12"/>
  <c r="J23" i="12"/>
  <c r="D325" i="12"/>
  <c r="D323" i="12"/>
  <c r="D582" i="12" l="1"/>
  <c r="E578" i="12"/>
  <c r="D547" i="12" l="1"/>
  <c r="J549" i="12"/>
  <c r="J550" i="12"/>
  <c r="J551" i="12"/>
  <c r="J552" i="12"/>
  <c r="J553" i="12"/>
  <c r="J554" i="12"/>
  <c r="J555" i="12"/>
  <c r="J556" i="12"/>
  <c r="J557" i="12"/>
  <c r="J558" i="12"/>
  <c r="J559" i="12"/>
  <c r="J560" i="12"/>
  <c r="J562" i="12"/>
  <c r="J563" i="12"/>
  <c r="J564" i="12"/>
  <c r="J92" i="12"/>
  <c r="P100" i="12"/>
  <c r="Q100" i="12"/>
  <c r="R100" i="12"/>
  <c r="S100" i="12"/>
  <c r="T100" i="12"/>
  <c r="U100" i="12"/>
  <c r="V100" i="12"/>
  <c r="W100" i="12"/>
  <c r="J599" i="12"/>
  <c r="J109" i="12"/>
  <c r="D109" i="12" s="1"/>
  <c r="J108" i="12"/>
  <c r="D108" i="12" s="1"/>
  <c r="J107" i="12"/>
  <c r="P106" i="12"/>
  <c r="Q106" i="12"/>
  <c r="R106" i="12"/>
  <c r="S106" i="12"/>
  <c r="T106" i="12"/>
  <c r="U106" i="12"/>
  <c r="V106" i="12"/>
  <c r="W106" i="12"/>
  <c r="O106" i="12"/>
  <c r="D248" i="12"/>
  <c r="J106" i="12" l="1"/>
  <c r="D599" i="12"/>
  <c r="D107" i="12"/>
  <c r="D106" i="12" s="1"/>
  <c r="D676" i="12"/>
  <c r="J653" i="12"/>
  <c r="J654" i="12"/>
  <c r="J655" i="12"/>
  <c r="J656" i="12"/>
  <c r="J657" i="12"/>
  <c r="J658" i="12"/>
  <c r="J659" i="12"/>
  <c r="J660" i="12"/>
  <c r="J661" i="12"/>
  <c r="J662" i="12"/>
  <c r="J663" i="12"/>
  <c r="J664" i="12"/>
  <c r="J666" i="12"/>
  <c r="J671" i="12"/>
  <c r="J672" i="12"/>
  <c r="D319" i="12" l="1"/>
  <c r="D91" i="12"/>
  <c r="J95" i="12" l="1"/>
  <c r="E483" i="12" l="1"/>
  <c r="E104" i="12"/>
  <c r="J88" i="12"/>
  <c r="J87" i="12"/>
  <c r="J98" i="12"/>
  <c r="D98" i="12" s="1"/>
  <c r="J97" i="12"/>
  <c r="D97" i="12" s="1"/>
  <c r="J96" i="12"/>
  <c r="D96" i="12" s="1"/>
  <c r="E319" i="12"/>
  <c r="E83" i="12"/>
  <c r="E620" i="12"/>
  <c r="D542" i="12"/>
  <c r="J446" i="12" l="1"/>
  <c r="J315" i="12"/>
  <c r="J238" i="12"/>
  <c r="J210" i="12"/>
  <c r="J147" i="12"/>
  <c r="J76" i="12"/>
  <c r="J59" i="12"/>
  <c r="O651" i="12"/>
  <c r="O446" i="12"/>
  <c r="O424" i="12"/>
  <c r="O417" i="12"/>
  <c r="O368" i="12"/>
  <c r="O365" i="12"/>
  <c r="O333" i="12"/>
  <c r="O293" i="12"/>
  <c r="O287" i="12"/>
  <c r="O274" i="12"/>
  <c r="O188" i="12"/>
  <c r="O183" i="12"/>
  <c r="O180" i="12"/>
  <c r="O270" i="12"/>
  <c r="P265" i="12"/>
  <c r="Q265" i="12"/>
  <c r="R265" i="12"/>
  <c r="S265" i="12"/>
  <c r="T265" i="12"/>
  <c r="U265" i="12"/>
  <c r="V265" i="12"/>
  <c r="W265" i="12"/>
  <c r="O265" i="12"/>
  <c r="P253" i="12"/>
  <c r="Q253" i="12"/>
  <c r="R253" i="12"/>
  <c r="S253" i="12"/>
  <c r="T253" i="12"/>
  <c r="U253" i="12"/>
  <c r="V253" i="12"/>
  <c r="W253" i="12"/>
  <c r="O253" i="12"/>
  <c r="P247" i="12"/>
  <c r="Q247" i="12"/>
  <c r="R247" i="12"/>
  <c r="S247" i="12"/>
  <c r="T247" i="12"/>
  <c r="U247" i="12"/>
  <c r="V247" i="12"/>
  <c r="W247" i="12"/>
  <c r="O247" i="12"/>
  <c r="P240" i="12"/>
  <c r="Q240" i="12"/>
  <c r="R240" i="12"/>
  <c r="S240" i="12"/>
  <c r="T240" i="12"/>
  <c r="U240" i="12"/>
  <c r="V240" i="12"/>
  <c r="W240" i="12"/>
  <c r="O240" i="12"/>
  <c r="P236" i="12"/>
  <c r="Q236" i="12"/>
  <c r="R236" i="12"/>
  <c r="S236" i="12"/>
  <c r="T236" i="12"/>
  <c r="U236" i="12"/>
  <c r="V236" i="12"/>
  <c r="W236" i="12"/>
  <c r="O236" i="12"/>
  <c r="P227" i="12"/>
  <c r="Q227" i="12"/>
  <c r="R227" i="12"/>
  <c r="S227" i="12"/>
  <c r="T227" i="12"/>
  <c r="U227" i="12"/>
  <c r="V227" i="12"/>
  <c r="W227" i="12"/>
  <c r="O227" i="12"/>
  <c r="P212" i="12"/>
  <c r="Q212" i="12"/>
  <c r="R212" i="12"/>
  <c r="S212" i="12"/>
  <c r="T212" i="12"/>
  <c r="U212" i="12"/>
  <c r="W212" i="12"/>
  <c r="O212" i="12"/>
  <c r="P196" i="12"/>
  <c r="Q196" i="12"/>
  <c r="R196" i="12"/>
  <c r="S196" i="12"/>
  <c r="T196" i="12"/>
  <c r="U196" i="12"/>
  <c r="V196" i="12"/>
  <c r="W196" i="12"/>
  <c r="O196" i="12"/>
  <c r="P70" i="12"/>
  <c r="Q70" i="12"/>
  <c r="R70" i="12"/>
  <c r="S70" i="12"/>
  <c r="T70" i="12"/>
  <c r="U70" i="12"/>
  <c r="V70" i="12"/>
  <c r="W70" i="12"/>
  <c r="O70" i="12"/>
  <c r="P63" i="12"/>
  <c r="Q63" i="12"/>
  <c r="R63" i="12"/>
  <c r="S63" i="12"/>
  <c r="T63" i="12"/>
  <c r="U63" i="12"/>
  <c r="V63" i="12"/>
  <c r="W63" i="12"/>
  <c r="O63" i="12"/>
  <c r="P54" i="12"/>
  <c r="Q54" i="12"/>
  <c r="R54" i="12"/>
  <c r="S54" i="12"/>
  <c r="T54" i="12"/>
  <c r="U54" i="12"/>
  <c r="V54" i="12"/>
  <c r="W54" i="12"/>
  <c r="W29" i="12"/>
  <c r="O195" i="12" l="1"/>
  <c r="O272" i="12"/>
  <c r="J233" i="12"/>
  <c r="J234" i="12"/>
  <c r="V221" i="12"/>
  <c r="J203" i="12"/>
  <c r="J204" i="12"/>
  <c r="J205" i="12"/>
  <c r="J206" i="12"/>
  <c r="J207" i="12"/>
  <c r="J208" i="12"/>
  <c r="J209" i="12"/>
  <c r="D236" i="12" l="1"/>
  <c r="D227" i="12"/>
  <c r="D196" i="12"/>
  <c r="Q26" i="12"/>
  <c r="E153" i="12" l="1"/>
  <c r="D65" i="12"/>
  <c r="J29" i="12"/>
  <c r="J28" i="12" s="1"/>
  <c r="W28" i="12"/>
  <c r="P28" i="12"/>
  <c r="O28" i="12"/>
  <c r="J26" i="12"/>
  <c r="D26" i="12" s="1"/>
  <c r="J27" i="12"/>
  <c r="D27" i="12" s="1"/>
  <c r="P25" i="12"/>
  <c r="Q25" i="12"/>
  <c r="Q24" i="12" s="1"/>
  <c r="R25" i="12"/>
  <c r="R24" i="12" s="1"/>
  <c r="S25" i="12"/>
  <c r="T25" i="12"/>
  <c r="U25" i="12"/>
  <c r="U24" i="12" s="1"/>
  <c r="V25" i="12"/>
  <c r="V24" i="12" s="1"/>
  <c r="W25" i="12"/>
  <c r="W24" i="12" s="1"/>
  <c r="O25" i="12"/>
  <c r="J697" i="12"/>
  <c r="J696" i="12" s="1"/>
  <c r="L697" i="12"/>
  <c r="H697" i="12"/>
  <c r="G697" i="12"/>
  <c r="AF696" i="12"/>
  <c r="AE696" i="12"/>
  <c r="AD696" i="12"/>
  <c r="AC696" i="12"/>
  <c r="AB696" i="12"/>
  <c r="AA696" i="12"/>
  <c r="Z696" i="12"/>
  <c r="Y696" i="12"/>
  <c r="X696" i="12"/>
  <c r="W696" i="12"/>
  <c r="V696" i="12"/>
  <c r="U696" i="12"/>
  <c r="T696" i="12"/>
  <c r="S696" i="12"/>
  <c r="R696" i="12"/>
  <c r="Q696" i="12"/>
  <c r="P696" i="12"/>
  <c r="F696" i="12"/>
  <c r="E696" i="12"/>
  <c r="D696" i="12"/>
  <c r="C696" i="12"/>
  <c r="L695" i="12"/>
  <c r="H695" i="12"/>
  <c r="O694" i="12"/>
  <c r="J694" i="12" s="1"/>
  <c r="L694" i="12"/>
  <c r="H694" i="12"/>
  <c r="G694" i="12"/>
  <c r="O693" i="12"/>
  <c r="J693" i="12" s="1"/>
  <c r="L693" i="12"/>
  <c r="G693" i="12"/>
  <c r="AF692" i="12"/>
  <c r="AE692" i="12"/>
  <c r="AD692" i="12"/>
  <c r="AC692" i="12"/>
  <c r="AB692" i="12"/>
  <c r="AA692" i="12"/>
  <c r="Z692" i="12"/>
  <c r="Y692" i="12"/>
  <c r="X692" i="12"/>
  <c r="W692" i="12"/>
  <c r="V692" i="12"/>
  <c r="U692" i="12"/>
  <c r="T692" i="12"/>
  <c r="S692" i="12"/>
  <c r="R692" i="12"/>
  <c r="Q692" i="12"/>
  <c r="P692" i="12"/>
  <c r="F692" i="12"/>
  <c r="E692" i="12"/>
  <c r="D692" i="12"/>
  <c r="C692" i="12"/>
  <c r="L691" i="12"/>
  <c r="P690" i="12"/>
  <c r="L690" i="12"/>
  <c r="F690" i="12"/>
  <c r="D690" i="12"/>
  <c r="J689" i="12"/>
  <c r="L689" i="12"/>
  <c r="F689" i="12"/>
  <c r="G689" i="12" s="1"/>
  <c r="P688" i="12"/>
  <c r="L688" i="12"/>
  <c r="F688" i="12"/>
  <c r="G688" i="12" s="1"/>
  <c r="P687" i="12"/>
  <c r="L687" i="12"/>
  <c r="F687" i="12"/>
  <c r="D687" i="12"/>
  <c r="Y686" i="12"/>
  <c r="F686" i="12" s="1"/>
  <c r="Y685" i="12"/>
  <c r="F685" i="12" s="1"/>
  <c r="P684" i="12"/>
  <c r="L684" i="12"/>
  <c r="F684" i="12"/>
  <c r="P683" i="12"/>
  <c r="J683" i="12" s="1"/>
  <c r="L683" i="12"/>
  <c r="F683" i="12"/>
  <c r="Y682" i="12"/>
  <c r="L682" i="12" s="1"/>
  <c r="Y681" i="12"/>
  <c r="L681" i="12" s="1"/>
  <c r="Y680" i="12"/>
  <c r="L680" i="12" s="1"/>
  <c r="Y679" i="12"/>
  <c r="F679" i="12"/>
  <c r="G679" i="12" s="1"/>
  <c r="L678" i="12"/>
  <c r="G678" i="12"/>
  <c r="L677" i="12"/>
  <c r="F677" i="12"/>
  <c r="G677" i="12" s="1"/>
  <c r="J676" i="12"/>
  <c r="L676" i="12"/>
  <c r="G676" i="12"/>
  <c r="O675" i="12"/>
  <c r="J675" i="12" s="1"/>
  <c r="L675" i="12"/>
  <c r="F675" i="12"/>
  <c r="G675" i="12" s="1"/>
  <c r="P674" i="12"/>
  <c r="L674" i="12"/>
  <c r="F674" i="12"/>
  <c r="H674" i="12" s="1"/>
  <c r="AF673" i="12"/>
  <c r="AE673" i="12"/>
  <c r="AD673" i="12"/>
  <c r="AC673" i="12"/>
  <c r="AB673" i="12"/>
  <c r="AA673" i="12"/>
  <c r="Z673" i="12"/>
  <c r="X673" i="12"/>
  <c r="W673" i="12"/>
  <c r="V673" i="12"/>
  <c r="U673" i="12"/>
  <c r="T673" i="12"/>
  <c r="S673" i="12"/>
  <c r="R673" i="12"/>
  <c r="Q673" i="12"/>
  <c r="E673" i="12"/>
  <c r="C673" i="12"/>
  <c r="L672" i="12"/>
  <c r="H672" i="12"/>
  <c r="L671" i="12"/>
  <c r="P670" i="12"/>
  <c r="J670" i="12" s="1"/>
  <c r="L670" i="12"/>
  <c r="F670" i="12" s="1"/>
  <c r="G670" i="12" s="1"/>
  <c r="P669" i="12"/>
  <c r="J669" i="12" s="1"/>
  <c r="L669" i="12"/>
  <c r="F669" i="12" s="1"/>
  <c r="G669" i="12" s="1"/>
  <c r="P668" i="12"/>
  <c r="J668" i="12" s="1"/>
  <c r="L668" i="12"/>
  <c r="F668" i="12" s="1"/>
  <c r="G668" i="12" s="1"/>
  <c r="P667" i="12"/>
  <c r="J667" i="12" s="1"/>
  <c r="L667" i="12"/>
  <c r="L666" i="12"/>
  <c r="P665" i="12"/>
  <c r="J665" i="12" s="1"/>
  <c r="L665" i="12"/>
  <c r="L664" i="12"/>
  <c r="L663" i="12"/>
  <c r="Y662" i="12"/>
  <c r="L662" i="12" s="1"/>
  <c r="F662" i="12"/>
  <c r="G662" i="12" s="1"/>
  <c r="Y661" i="12"/>
  <c r="F661" i="12" s="1"/>
  <c r="L660" i="12"/>
  <c r="H660" i="12"/>
  <c r="L659" i="12"/>
  <c r="L658" i="12"/>
  <c r="H658" i="12"/>
  <c r="L657" i="12"/>
  <c r="H657" i="12"/>
  <c r="L656" i="12"/>
  <c r="L655" i="12"/>
  <c r="L654" i="12"/>
  <c r="L653" i="12"/>
  <c r="P652" i="12"/>
  <c r="L652" i="12"/>
  <c r="F652" i="12" s="1"/>
  <c r="AF651" i="12"/>
  <c r="AE651" i="12"/>
  <c r="AD651" i="12"/>
  <c r="AC651" i="12"/>
  <c r="AB651" i="12"/>
  <c r="AA651" i="12"/>
  <c r="Z651" i="12"/>
  <c r="X651" i="12"/>
  <c r="W651" i="12"/>
  <c r="V651" i="12"/>
  <c r="U651" i="12"/>
  <c r="T651" i="12"/>
  <c r="S651" i="12"/>
  <c r="R651" i="12"/>
  <c r="Q651" i="12"/>
  <c r="E651" i="12"/>
  <c r="D651" i="12"/>
  <c r="C651" i="12"/>
  <c r="P650" i="12"/>
  <c r="P646" i="12" s="1"/>
  <c r="L650" i="12"/>
  <c r="O649" i="12"/>
  <c r="J649" i="12" s="1"/>
  <c r="L649" i="12"/>
  <c r="F649" i="12" s="1"/>
  <c r="G649" i="12" s="1"/>
  <c r="O648" i="12"/>
  <c r="J648" i="12" s="1"/>
  <c r="L648" i="12"/>
  <c r="F648" i="12" s="1"/>
  <c r="J647" i="12"/>
  <c r="L647" i="12"/>
  <c r="F647" i="12" s="1"/>
  <c r="H647" i="12" s="1"/>
  <c r="AF646" i="12"/>
  <c r="AE646" i="12"/>
  <c r="AD646" i="12"/>
  <c r="AC646" i="12"/>
  <c r="AB646" i="12"/>
  <c r="AA646" i="12"/>
  <c r="Z646" i="12"/>
  <c r="Y646" i="12"/>
  <c r="X646" i="12"/>
  <c r="W646" i="12"/>
  <c r="V646" i="12"/>
  <c r="U646" i="12"/>
  <c r="T646" i="12"/>
  <c r="S646" i="12"/>
  <c r="R646" i="12"/>
  <c r="Q646" i="12"/>
  <c r="E646" i="12"/>
  <c r="D646" i="12"/>
  <c r="C646" i="12"/>
  <c r="O645" i="12"/>
  <c r="L645" i="12"/>
  <c r="J643" i="12"/>
  <c r="D643" i="12" s="1"/>
  <c r="D642" i="12" s="1"/>
  <c r="L643" i="12"/>
  <c r="F643" i="12" s="1"/>
  <c r="H643" i="12" s="1"/>
  <c r="AF642" i="12"/>
  <c r="AE642" i="12"/>
  <c r="AD642" i="12"/>
  <c r="AC642" i="12"/>
  <c r="AB642" i="12"/>
  <c r="AA642" i="12"/>
  <c r="Z642" i="12"/>
  <c r="Y642" i="12"/>
  <c r="X642" i="12"/>
  <c r="W642" i="12"/>
  <c r="V642" i="12"/>
  <c r="U642" i="12"/>
  <c r="T642" i="12"/>
  <c r="S642" i="12"/>
  <c r="R642" i="12"/>
  <c r="Q642" i="12"/>
  <c r="P642" i="12"/>
  <c r="E642" i="12"/>
  <c r="C642" i="12"/>
  <c r="L641" i="12"/>
  <c r="H641" i="12"/>
  <c r="O640" i="12"/>
  <c r="J640" i="12" s="1"/>
  <c r="L640" i="12"/>
  <c r="F640" i="12" s="1"/>
  <c r="D639" i="12"/>
  <c r="L639" i="12"/>
  <c r="F639" i="12" s="1"/>
  <c r="H639" i="12" s="1"/>
  <c r="AF638" i="12"/>
  <c r="AE638" i="12"/>
  <c r="AD638" i="12"/>
  <c r="AC638" i="12"/>
  <c r="AB638" i="12"/>
  <c r="AA638" i="12"/>
  <c r="Z638" i="12"/>
  <c r="Y638" i="12"/>
  <c r="X638" i="12"/>
  <c r="W638" i="12"/>
  <c r="V638" i="12"/>
  <c r="U638" i="12"/>
  <c r="T638" i="12"/>
  <c r="S638" i="12"/>
  <c r="R638" i="12"/>
  <c r="Q638" i="12"/>
  <c r="P638" i="12"/>
  <c r="E638" i="12"/>
  <c r="C638" i="12"/>
  <c r="L637" i="12"/>
  <c r="H637" i="12"/>
  <c r="J636" i="12"/>
  <c r="J635" i="12" s="1"/>
  <c r="L636" i="12"/>
  <c r="H636" i="12"/>
  <c r="AF635" i="12"/>
  <c r="AE635" i="12"/>
  <c r="AD635" i="12"/>
  <c r="AC635" i="12"/>
  <c r="AB635" i="12"/>
  <c r="AA635" i="12"/>
  <c r="Z635" i="12"/>
  <c r="Y635" i="12"/>
  <c r="X635" i="12"/>
  <c r="W635" i="12"/>
  <c r="V635" i="12"/>
  <c r="U635" i="12"/>
  <c r="T635" i="12"/>
  <c r="S635" i="12"/>
  <c r="R635" i="12"/>
  <c r="Q635" i="12"/>
  <c r="P635" i="12"/>
  <c r="O635" i="12"/>
  <c r="F635" i="12"/>
  <c r="E635" i="12"/>
  <c r="C635" i="12"/>
  <c r="D634" i="12"/>
  <c r="L634" i="12"/>
  <c r="F634" i="12" s="1"/>
  <c r="L633" i="12"/>
  <c r="F633" i="12" s="1"/>
  <c r="H633" i="12" s="1"/>
  <c r="J632" i="12"/>
  <c r="J631" i="12" s="1"/>
  <c r="L632" i="12"/>
  <c r="F632" i="12" s="1"/>
  <c r="H632" i="12" s="1"/>
  <c r="AF631" i="12"/>
  <c r="AE631" i="12"/>
  <c r="AD631" i="12"/>
  <c r="AC631" i="12"/>
  <c r="AB631" i="12"/>
  <c r="AA631" i="12"/>
  <c r="Z631" i="12"/>
  <c r="Y631" i="12"/>
  <c r="X631" i="12"/>
  <c r="W631" i="12"/>
  <c r="V631" i="12"/>
  <c r="U631" i="12"/>
  <c r="T631" i="12"/>
  <c r="S631" i="12"/>
  <c r="R631" i="12"/>
  <c r="Q631" i="12"/>
  <c r="P631" i="12"/>
  <c r="E631" i="12"/>
  <c r="C631" i="12"/>
  <c r="D630" i="12"/>
  <c r="L630" i="12"/>
  <c r="F630" i="12" s="1"/>
  <c r="D629" i="12"/>
  <c r="L629" i="12"/>
  <c r="F629" i="12" s="1"/>
  <c r="O628" i="12"/>
  <c r="J628" i="12" s="1"/>
  <c r="L628" i="12"/>
  <c r="F628" i="12" s="1"/>
  <c r="H628" i="12" s="1"/>
  <c r="J627" i="12"/>
  <c r="L627" i="12"/>
  <c r="F627" i="12" s="1"/>
  <c r="H627" i="12" s="1"/>
  <c r="AF626" i="12"/>
  <c r="AE626" i="12"/>
  <c r="AD626" i="12"/>
  <c r="AC626" i="12"/>
  <c r="AB626" i="12"/>
  <c r="AA626" i="12"/>
  <c r="Z626" i="12"/>
  <c r="Y626" i="12"/>
  <c r="X626" i="12"/>
  <c r="W626" i="12"/>
  <c r="V626" i="12"/>
  <c r="U626" i="12"/>
  <c r="T626" i="12"/>
  <c r="S626" i="12"/>
  <c r="R626" i="12"/>
  <c r="Q626" i="12"/>
  <c r="P626" i="12"/>
  <c r="E626" i="12"/>
  <c r="C626" i="12"/>
  <c r="L625" i="12"/>
  <c r="J623" i="12"/>
  <c r="L623" i="12"/>
  <c r="F623" i="12" s="1"/>
  <c r="AF622" i="12"/>
  <c r="AE622" i="12"/>
  <c r="AD622" i="12"/>
  <c r="AC622" i="12"/>
  <c r="AB622" i="12"/>
  <c r="AA622" i="12"/>
  <c r="Z622" i="12"/>
  <c r="Y622" i="12"/>
  <c r="X622" i="12"/>
  <c r="W622" i="12"/>
  <c r="V622" i="12"/>
  <c r="U622" i="12"/>
  <c r="T622" i="12"/>
  <c r="S622" i="12"/>
  <c r="R622" i="12"/>
  <c r="Q622" i="12"/>
  <c r="P622" i="12"/>
  <c r="E622" i="12"/>
  <c r="C622" i="12"/>
  <c r="Y621" i="12"/>
  <c r="J621" i="12"/>
  <c r="L620" i="12"/>
  <c r="F620" i="12" s="1"/>
  <c r="G620" i="12" s="1"/>
  <c r="O619" i="12"/>
  <c r="J619" i="12" s="1"/>
  <c r="L619" i="12"/>
  <c r="F619" i="12" s="1"/>
  <c r="H619" i="12" s="1"/>
  <c r="J618" i="12"/>
  <c r="D618" i="12" s="1"/>
  <c r="L618" i="12"/>
  <c r="F618" i="12" s="1"/>
  <c r="AF617" i="12"/>
  <c r="AE617" i="12"/>
  <c r="AD617" i="12"/>
  <c r="AC617" i="12"/>
  <c r="AB617" i="12"/>
  <c r="AA617" i="12"/>
  <c r="Z617" i="12"/>
  <c r="X617" i="12"/>
  <c r="W617" i="12"/>
  <c r="V617" i="12"/>
  <c r="U617" i="12"/>
  <c r="T617" i="12"/>
  <c r="S617" i="12"/>
  <c r="R617" i="12"/>
  <c r="Q617" i="12"/>
  <c r="P617" i="12"/>
  <c r="E617" i="12"/>
  <c r="C617" i="12"/>
  <c r="L616" i="12"/>
  <c r="F616" i="12" s="1"/>
  <c r="D616" i="12"/>
  <c r="D614" i="12" s="1"/>
  <c r="L615" i="12"/>
  <c r="F615" i="12" s="1"/>
  <c r="AF614" i="12"/>
  <c r="AE614" i="12"/>
  <c r="AD614" i="12"/>
  <c r="AC614" i="12"/>
  <c r="AB614" i="12"/>
  <c r="AA614" i="12"/>
  <c r="Z614" i="12"/>
  <c r="Y614" i="12"/>
  <c r="X614" i="12"/>
  <c r="W614" i="12"/>
  <c r="V614" i="12"/>
  <c r="U614" i="12"/>
  <c r="T614" i="12"/>
  <c r="S614" i="12"/>
  <c r="R614" i="12"/>
  <c r="Q614" i="12"/>
  <c r="P614" i="12"/>
  <c r="E614" i="12"/>
  <c r="C614" i="12"/>
  <c r="J613" i="12"/>
  <c r="L613" i="12"/>
  <c r="F613" i="12" s="1"/>
  <c r="L612" i="12"/>
  <c r="F612" i="12" s="1"/>
  <c r="Y611" i="12"/>
  <c r="L611" i="12" s="1"/>
  <c r="F611" i="12" s="1"/>
  <c r="H611" i="12" s="1"/>
  <c r="AF610" i="12"/>
  <c r="AE610" i="12"/>
  <c r="AD610" i="12"/>
  <c r="AC610" i="12"/>
  <c r="AB610" i="12"/>
  <c r="AA610" i="12"/>
  <c r="Z610" i="12"/>
  <c r="X610" i="12"/>
  <c r="W610" i="12"/>
  <c r="V610" i="12"/>
  <c r="U610" i="12"/>
  <c r="T610" i="12"/>
  <c r="S610" i="12"/>
  <c r="R610" i="12"/>
  <c r="Q610" i="12"/>
  <c r="P610" i="12"/>
  <c r="E610" i="12"/>
  <c r="C610" i="12"/>
  <c r="J609" i="12"/>
  <c r="L609" i="12"/>
  <c r="F609" i="12" s="1"/>
  <c r="H609" i="12" s="1"/>
  <c r="O608" i="12"/>
  <c r="J608" i="12" s="1"/>
  <c r="L608" i="12"/>
  <c r="F608" i="12" s="1"/>
  <c r="H608" i="12" s="1"/>
  <c r="O607" i="12"/>
  <c r="J607" i="12" s="1"/>
  <c r="L607" i="12"/>
  <c r="F607" i="12" s="1"/>
  <c r="H607" i="12" s="1"/>
  <c r="O606" i="12"/>
  <c r="J606" i="12" s="1"/>
  <c r="L606" i="12"/>
  <c r="F606" i="12" s="1"/>
  <c r="AF605" i="12"/>
  <c r="AE605" i="12"/>
  <c r="AD605" i="12"/>
  <c r="AC605" i="12"/>
  <c r="AB605" i="12"/>
  <c r="AA605" i="12"/>
  <c r="Z605" i="12"/>
  <c r="Y605" i="12"/>
  <c r="X605" i="12"/>
  <c r="W605" i="12"/>
  <c r="V605" i="12"/>
  <c r="U605" i="12"/>
  <c r="T605" i="12"/>
  <c r="S605" i="12"/>
  <c r="R605" i="12"/>
  <c r="Q605" i="12"/>
  <c r="P605" i="12"/>
  <c r="E605" i="12"/>
  <c r="C605" i="12"/>
  <c r="O604" i="12"/>
  <c r="L604" i="12"/>
  <c r="AA602" i="12"/>
  <c r="R602" i="12" s="1"/>
  <c r="R601" i="12" s="1"/>
  <c r="Q602" i="12"/>
  <c r="Q601" i="12" s="1"/>
  <c r="O602" i="12"/>
  <c r="O601" i="12" s="1"/>
  <c r="AF601" i="12"/>
  <c r="AE601" i="12"/>
  <c r="AD601" i="12"/>
  <c r="AC601" i="12"/>
  <c r="AB601" i="12"/>
  <c r="Z601" i="12"/>
  <c r="Y601" i="12"/>
  <c r="X601" i="12"/>
  <c r="W601" i="12"/>
  <c r="V601" i="12"/>
  <c r="U601" i="12"/>
  <c r="T601" i="12"/>
  <c r="S601" i="12"/>
  <c r="P601" i="12"/>
  <c r="E601" i="12"/>
  <c r="C601" i="12"/>
  <c r="Y600" i="12"/>
  <c r="L600" i="12" s="1"/>
  <c r="O600" i="12"/>
  <c r="J600" i="12" s="1"/>
  <c r="H600" i="12"/>
  <c r="O598" i="12"/>
  <c r="J598" i="12" s="1"/>
  <c r="L598" i="12"/>
  <c r="F598" i="12" s="1"/>
  <c r="Q597" i="12"/>
  <c r="Q595" i="12" s="1"/>
  <c r="L597" i="12"/>
  <c r="H597" i="12"/>
  <c r="J596" i="12"/>
  <c r="L596" i="12"/>
  <c r="F596" i="12" s="1"/>
  <c r="H596" i="12" s="1"/>
  <c r="AF595" i="12"/>
  <c r="AE595" i="12"/>
  <c r="AD595" i="12"/>
  <c r="AC595" i="12"/>
  <c r="AB595" i="12"/>
  <c r="AA595" i="12"/>
  <c r="Z595" i="12"/>
  <c r="X595" i="12"/>
  <c r="W595" i="12"/>
  <c r="V595" i="12"/>
  <c r="U595" i="12"/>
  <c r="T595" i="12"/>
  <c r="S595" i="12"/>
  <c r="R595" i="12"/>
  <c r="P595" i="12"/>
  <c r="E595" i="12"/>
  <c r="C595" i="12"/>
  <c r="L594" i="12"/>
  <c r="F594" i="12" s="1"/>
  <c r="J593" i="12"/>
  <c r="L593" i="12"/>
  <c r="H593" i="12"/>
  <c r="L592" i="12"/>
  <c r="H592" i="12"/>
  <c r="Z591" i="12"/>
  <c r="L591" i="12" s="1"/>
  <c r="Z590" i="12"/>
  <c r="Q590" i="12" s="1"/>
  <c r="Q589" i="12" s="1"/>
  <c r="T590" i="12"/>
  <c r="T589" i="12" s="1"/>
  <c r="H590" i="12"/>
  <c r="AF589" i="12"/>
  <c r="AE589" i="12"/>
  <c r="AD589" i="12"/>
  <c r="AC589" i="12"/>
  <c r="AB589" i="12"/>
  <c r="AA589" i="12"/>
  <c r="Y589" i="12"/>
  <c r="X589" i="12"/>
  <c r="W589" i="12"/>
  <c r="V589" i="12"/>
  <c r="U589" i="12"/>
  <c r="S589" i="12"/>
  <c r="R589" i="12"/>
  <c r="P589" i="12"/>
  <c r="E589" i="12"/>
  <c r="C589" i="12"/>
  <c r="L588" i="12"/>
  <c r="H588" i="12"/>
  <c r="Z587" i="12"/>
  <c r="Q587" i="12" s="1"/>
  <c r="J587" i="12" s="1"/>
  <c r="F587" i="12"/>
  <c r="G587" i="12" s="1"/>
  <c r="AA586" i="12"/>
  <c r="R586" i="12" s="1"/>
  <c r="R585" i="12" s="1"/>
  <c r="Z586" i="12"/>
  <c r="Q586" i="12" s="1"/>
  <c r="F586" i="12"/>
  <c r="AF585" i="12"/>
  <c r="AE585" i="12"/>
  <c r="AD585" i="12"/>
  <c r="AC585" i="12"/>
  <c r="AB585" i="12"/>
  <c r="Y585" i="12"/>
  <c r="X585" i="12"/>
  <c r="W585" i="12"/>
  <c r="V585" i="12"/>
  <c r="U585" i="12"/>
  <c r="T585" i="12"/>
  <c r="S585" i="12"/>
  <c r="P585" i="12"/>
  <c r="E585" i="12"/>
  <c r="C585" i="12"/>
  <c r="L584" i="12"/>
  <c r="H584" i="12"/>
  <c r="Z583" i="12"/>
  <c r="Q583" i="12" s="1"/>
  <c r="J583" i="12" s="1"/>
  <c r="F583" i="12"/>
  <c r="G583" i="12" s="1"/>
  <c r="AA582" i="12"/>
  <c r="Z582" i="12"/>
  <c r="Q582" i="12" s="1"/>
  <c r="T581" i="12"/>
  <c r="F582" i="12"/>
  <c r="H582" i="12" s="1"/>
  <c r="AF581" i="12"/>
  <c r="AE581" i="12"/>
  <c r="AD581" i="12"/>
  <c r="AC581" i="12"/>
  <c r="AB581" i="12"/>
  <c r="Y581" i="12"/>
  <c r="X581" i="12"/>
  <c r="W581" i="12"/>
  <c r="V581" i="12"/>
  <c r="U581" i="12"/>
  <c r="S581" i="12"/>
  <c r="P581" i="12"/>
  <c r="E581" i="12"/>
  <c r="C581" i="12"/>
  <c r="L580" i="12"/>
  <c r="F580" i="12" s="1"/>
  <c r="H580" i="12" s="1"/>
  <c r="J579" i="12"/>
  <c r="L579" i="12"/>
  <c r="F579" i="12" s="1"/>
  <c r="H579" i="12" s="1"/>
  <c r="Y578" i="12"/>
  <c r="L578" i="12" s="1"/>
  <c r="F578" i="12" s="1"/>
  <c r="J578" i="12"/>
  <c r="L577" i="12"/>
  <c r="F577" i="12" s="1"/>
  <c r="H577" i="12" s="1"/>
  <c r="AF576" i="12"/>
  <c r="AE576" i="12"/>
  <c r="AD576" i="12"/>
  <c r="AC576" i="12"/>
  <c r="AB576" i="12"/>
  <c r="AA576" i="12"/>
  <c r="Z576" i="12"/>
  <c r="X576" i="12"/>
  <c r="W576" i="12"/>
  <c r="V576" i="12"/>
  <c r="U576" i="12"/>
  <c r="T576" i="12"/>
  <c r="S576" i="12"/>
  <c r="R576" i="12"/>
  <c r="Q576" i="12"/>
  <c r="P576" i="12"/>
  <c r="E576" i="12"/>
  <c r="C576" i="12"/>
  <c r="L575" i="12"/>
  <c r="F575" i="12" s="1"/>
  <c r="H575" i="12" s="1"/>
  <c r="O574" i="12"/>
  <c r="J574" i="12" s="1"/>
  <c r="L574" i="12"/>
  <c r="F574" i="12" s="1"/>
  <c r="O573" i="12"/>
  <c r="J573" i="12" s="1"/>
  <c r="L573" i="12"/>
  <c r="F573" i="12" s="1"/>
  <c r="H573" i="12" s="1"/>
  <c r="O572" i="12"/>
  <c r="J572" i="12" s="1"/>
  <c r="L572" i="12"/>
  <c r="F572" i="12" s="1"/>
  <c r="AF571" i="12"/>
  <c r="AE571" i="12"/>
  <c r="AD571" i="12"/>
  <c r="AC571" i="12"/>
  <c r="AB571" i="12"/>
  <c r="AA571" i="12"/>
  <c r="Z571" i="12"/>
  <c r="Y571" i="12"/>
  <c r="X571" i="12"/>
  <c r="W571" i="12"/>
  <c r="V571" i="12"/>
  <c r="U571" i="12"/>
  <c r="T571" i="12"/>
  <c r="S571" i="12"/>
  <c r="R571" i="12"/>
  <c r="Q571" i="12"/>
  <c r="P571" i="12"/>
  <c r="E571" i="12"/>
  <c r="C571" i="12"/>
  <c r="O570" i="12"/>
  <c r="L570" i="12"/>
  <c r="P567" i="12"/>
  <c r="L568" i="12"/>
  <c r="H568" i="12"/>
  <c r="G568" i="12"/>
  <c r="AF567" i="12"/>
  <c r="AE567" i="12"/>
  <c r="AD567" i="12"/>
  <c r="AC567" i="12"/>
  <c r="AB567" i="12"/>
  <c r="AA567" i="12"/>
  <c r="Z567" i="12"/>
  <c r="Y567" i="12"/>
  <c r="X567" i="12"/>
  <c r="W567" i="12"/>
  <c r="V567" i="12"/>
  <c r="U567" i="12"/>
  <c r="T567" i="12"/>
  <c r="S567" i="12"/>
  <c r="R567" i="12"/>
  <c r="Q567" i="12"/>
  <c r="F567" i="12"/>
  <c r="E567" i="12"/>
  <c r="D567" i="12"/>
  <c r="C567" i="12"/>
  <c r="J566" i="12"/>
  <c r="L566" i="12"/>
  <c r="F566" i="12" s="1"/>
  <c r="H566" i="12" s="1"/>
  <c r="O565" i="12"/>
  <c r="J565" i="12" s="1"/>
  <c r="L565" i="12"/>
  <c r="F565" i="12" s="1"/>
  <c r="L564" i="12"/>
  <c r="F564" i="12" s="1"/>
  <c r="H564" i="12" s="1"/>
  <c r="L563" i="12"/>
  <c r="L562" i="12"/>
  <c r="F562" i="12" s="1"/>
  <c r="H562" i="12" s="1"/>
  <c r="AF561" i="12"/>
  <c r="AE561" i="12"/>
  <c r="AD561" i="12"/>
  <c r="AC561" i="12"/>
  <c r="AB561" i="12"/>
  <c r="AA561" i="12"/>
  <c r="Z561" i="12"/>
  <c r="Y561" i="12"/>
  <c r="X561" i="12"/>
  <c r="W561" i="12"/>
  <c r="U561" i="12"/>
  <c r="T561" i="12"/>
  <c r="S561" i="12"/>
  <c r="R561" i="12"/>
  <c r="Q561" i="12"/>
  <c r="P561" i="12"/>
  <c r="E561" i="12"/>
  <c r="C561" i="12"/>
  <c r="L552" i="12"/>
  <c r="F552" i="12" s="1"/>
  <c r="L551" i="12"/>
  <c r="F551" i="12" s="1"/>
  <c r="H551" i="12" s="1"/>
  <c r="L550" i="12"/>
  <c r="F550" i="12" s="1"/>
  <c r="H550" i="12" s="1"/>
  <c r="L549" i="12"/>
  <c r="F549" i="12" s="1"/>
  <c r="H549" i="12" s="1"/>
  <c r="J548" i="12"/>
  <c r="L548" i="12"/>
  <c r="Z547" i="12"/>
  <c r="O547" i="12"/>
  <c r="J547" i="12" s="1"/>
  <c r="AF546" i="12"/>
  <c r="AE546" i="12"/>
  <c r="AD546" i="12"/>
  <c r="AC546" i="12"/>
  <c r="AB546" i="12"/>
  <c r="AA546" i="12"/>
  <c r="Y546" i="12"/>
  <c r="X546" i="12"/>
  <c r="W546" i="12"/>
  <c r="V546" i="12"/>
  <c r="U546" i="12"/>
  <c r="T546" i="12"/>
  <c r="S546" i="12"/>
  <c r="R546" i="12"/>
  <c r="Q546" i="12"/>
  <c r="P546" i="12"/>
  <c r="E546" i="12"/>
  <c r="C546" i="12"/>
  <c r="Y545" i="12"/>
  <c r="L545" i="12" s="1"/>
  <c r="F545" i="12" s="1"/>
  <c r="H545" i="12" s="1"/>
  <c r="J545" i="12"/>
  <c r="Y544" i="12"/>
  <c r="L544" i="12" s="1"/>
  <c r="J544" i="12"/>
  <c r="Y543" i="12"/>
  <c r="L543" i="12" s="1"/>
  <c r="F543" i="12" s="1"/>
  <c r="H543" i="12" s="1"/>
  <c r="J543" i="12"/>
  <c r="Y542" i="12"/>
  <c r="L542" i="12" s="1"/>
  <c r="F542" i="12" s="1"/>
  <c r="J542" i="12"/>
  <c r="AF541" i="12"/>
  <c r="AE541" i="12"/>
  <c r="AD541" i="12"/>
  <c r="AC541" i="12"/>
  <c r="AB541" i="12"/>
  <c r="AA541" i="12"/>
  <c r="Z541" i="12"/>
  <c r="X541" i="12"/>
  <c r="W541" i="12"/>
  <c r="V541" i="12"/>
  <c r="U541" i="12"/>
  <c r="T541" i="12"/>
  <c r="S541" i="12"/>
  <c r="R541" i="12"/>
  <c r="Q541" i="12"/>
  <c r="P541" i="12"/>
  <c r="E541" i="12"/>
  <c r="C541" i="12"/>
  <c r="J540" i="12"/>
  <c r="L540" i="12"/>
  <c r="F540" i="12" s="1"/>
  <c r="H540" i="12" s="1"/>
  <c r="J539" i="12"/>
  <c r="L539" i="12"/>
  <c r="F539" i="12" s="1"/>
  <c r="O538" i="12"/>
  <c r="J538" i="12" s="1"/>
  <c r="D538" i="12" s="1"/>
  <c r="L538" i="12"/>
  <c r="O537" i="12"/>
  <c r="J537" i="12" s="1"/>
  <c r="L537" i="12"/>
  <c r="F537" i="12" s="1"/>
  <c r="O536" i="12"/>
  <c r="J536" i="12" s="1"/>
  <c r="L536" i="12"/>
  <c r="AF535" i="12"/>
  <c r="AE535" i="12"/>
  <c r="AD535" i="12"/>
  <c r="AC535" i="12"/>
  <c r="AB535" i="12"/>
  <c r="AA535" i="12"/>
  <c r="Z535" i="12"/>
  <c r="Y535" i="12"/>
  <c r="X535" i="12"/>
  <c r="W535" i="12"/>
  <c r="V535" i="12"/>
  <c r="U535" i="12"/>
  <c r="T535" i="12"/>
  <c r="S535" i="12"/>
  <c r="R535" i="12"/>
  <c r="Q535" i="12"/>
  <c r="P535" i="12"/>
  <c r="E535" i="12"/>
  <c r="C535" i="12"/>
  <c r="O534" i="12"/>
  <c r="L534" i="12"/>
  <c r="Z532" i="12"/>
  <c r="L532" i="12" s="1"/>
  <c r="F532" i="12" s="1"/>
  <c r="S532" i="12"/>
  <c r="S531" i="12" s="1"/>
  <c r="AF531" i="12"/>
  <c r="AE531" i="12"/>
  <c r="AD531" i="12"/>
  <c r="AC531" i="12"/>
  <c r="AB531" i="12"/>
  <c r="AA531" i="12"/>
  <c r="Y531" i="12"/>
  <c r="X531" i="12"/>
  <c r="W531" i="12"/>
  <c r="V531" i="12"/>
  <c r="U531" i="12"/>
  <c r="T531" i="12"/>
  <c r="R531" i="12"/>
  <c r="P531" i="12"/>
  <c r="O531" i="12"/>
  <c r="E531" i="12"/>
  <c r="C531" i="12"/>
  <c r="L530" i="12"/>
  <c r="F530" i="12" s="1"/>
  <c r="L529" i="12"/>
  <c r="F529" i="12" s="1"/>
  <c r="H529" i="12" s="1"/>
  <c r="AB528" i="12"/>
  <c r="AB526" i="12" s="1"/>
  <c r="L527" i="12"/>
  <c r="F527" i="12" s="1"/>
  <c r="H527" i="12" s="1"/>
  <c r="AF526" i="12"/>
  <c r="AE526" i="12"/>
  <c r="AD526" i="12"/>
  <c r="AC526" i="12"/>
  <c r="AA526" i="12"/>
  <c r="Z526" i="12"/>
  <c r="Y526" i="12"/>
  <c r="X526" i="12"/>
  <c r="W526" i="12"/>
  <c r="V526" i="12"/>
  <c r="U526" i="12"/>
  <c r="T526" i="12"/>
  <c r="R526" i="12"/>
  <c r="P526" i="12"/>
  <c r="E526" i="12"/>
  <c r="C526" i="12"/>
  <c r="AB525" i="12"/>
  <c r="X524" i="12"/>
  <c r="L524" i="12" s="1"/>
  <c r="F524" i="12" s="1"/>
  <c r="J523" i="12"/>
  <c r="D523" i="12" s="1"/>
  <c r="L523" i="12"/>
  <c r="F523" i="12" s="1"/>
  <c r="S522" i="12"/>
  <c r="L522" i="12"/>
  <c r="F522" i="12" s="1"/>
  <c r="H522" i="12" s="1"/>
  <c r="L521" i="12"/>
  <c r="F521" i="12" s="1"/>
  <c r="L520" i="12"/>
  <c r="F520" i="12" s="1"/>
  <c r="O519" i="12"/>
  <c r="L519" i="12"/>
  <c r="F519" i="12" s="1"/>
  <c r="H519" i="12" s="1"/>
  <c r="Z518" i="12"/>
  <c r="Z513" i="12" s="1"/>
  <c r="J518" i="12"/>
  <c r="L517" i="12"/>
  <c r="F517" i="12" s="1"/>
  <c r="H517" i="12" s="1"/>
  <c r="L516" i="12"/>
  <c r="F516" i="12" s="1"/>
  <c r="H516" i="12" s="1"/>
  <c r="E513" i="12"/>
  <c r="L515" i="12"/>
  <c r="F515" i="12" s="1"/>
  <c r="L514" i="12"/>
  <c r="F514" i="12" s="1"/>
  <c r="H514" i="12" s="1"/>
  <c r="AF513" i="12"/>
  <c r="AE513" i="12"/>
  <c r="AD513" i="12"/>
  <c r="AC513" i="12"/>
  <c r="AA513" i="12"/>
  <c r="Y513" i="12"/>
  <c r="W513" i="12"/>
  <c r="V513" i="12"/>
  <c r="U513" i="12"/>
  <c r="T513" i="12"/>
  <c r="R513" i="12"/>
  <c r="P513" i="12"/>
  <c r="C513" i="12"/>
  <c r="L512" i="12"/>
  <c r="F512" i="12" s="1"/>
  <c r="H512" i="12" s="1"/>
  <c r="L511" i="12"/>
  <c r="F511" i="12" s="1"/>
  <c r="X510" i="12"/>
  <c r="AB509" i="12"/>
  <c r="AB508" i="12"/>
  <c r="Z508" i="12"/>
  <c r="O508" i="12"/>
  <c r="AF507" i="12"/>
  <c r="AE507" i="12"/>
  <c r="AD507" i="12"/>
  <c r="AC507" i="12"/>
  <c r="AA507" i="12"/>
  <c r="Y507" i="12"/>
  <c r="W507" i="12"/>
  <c r="V507" i="12"/>
  <c r="U507" i="12"/>
  <c r="T507" i="12"/>
  <c r="R507" i="12"/>
  <c r="P507" i="12"/>
  <c r="E507" i="12"/>
  <c r="C507" i="12"/>
  <c r="L506" i="12"/>
  <c r="F506" i="12" s="1"/>
  <c r="L505" i="12"/>
  <c r="F505" i="12" s="1"/>
  <c r="D504" i="12"/>
  <c r="L504" i="12"/>
  <c r="F504" i="12" s="1"/>
  <c r="H504" i="12" s="1"/>
  <c r="L503" i="12"/>
  <c r="F503" i="12" s="1"/>
  <c r="L502" i="12"/>
  <c r="F502" i="12" s="1"/>
  <c r="L501" i="12"/>
  <c r="F501" i="12" s="1"/>
  <c r="L500" i="12"/>
  <c r="F500" i="12" s="1"/>
  <c r="J499" i="12"/>
  <c r="D499" i="12" s="1"/>
  <c r="L499" i="12"/>
  <c r="J498" i="12"/>
  <c r="L498" i="12"/>
  <c r="F498" i="12" s="1"/>
  <c r="H498" i="12" s="1"/>
  <c r="J497" i="12"/>
  <c r="D497" i="12" s="1"/>
  <c r="L497" i="12"/>
  <c r="F497" i="12" s="1"/>
  <c r="L496" i="12"/>
  <c r="F496" i="12" s="1"/>
  <c r="H496" i="12" s="1"/>
  <c r="J496" i="12"/>
  <c r="AF495" i="12"/>
  <c r="AE495" i="12"/>
  <c r="AD495" i="12"/>
  <c r="AC495" i="12"/>
  <c r="AB495" i="12"/>
  <c r="AA495" i="12"/>
  <c r="Z495" i="12"/>
  <c r="Y495" i="12"/>
  <c r="X495" i="12"/>
  <c r="W495" i="12"/>
  <c r="V495" i="12"/>
  <c r="U495" i="12"/>
  <c r="T495" i="12"/>
  <c r="S495" i="12"/>
  <c r="R495" i="12"/>
  <c r="Q495" i="12"/>
  <c r="P495" i="12"/>
  <c r="E495" i="12"/>
  <c r="C495" i="12"/>
  <c r="L494" i="12"/>
  <c r="F494" i="12" s="1"/>
  <c r="H494" i="12" s="1"/>
  <c r="O493" i="12"/>
  <c r="J493" i="12" s="1"/>
  <c r="D493" i="12" s="1"/>
  <c r="L493" i="12"/>
  <c r="F493" i="12" s="1"/>
  <c r="H493" i="12" s="1"/>
  <c r="O492" i="12"/>
  <c r="J492" i="12" s="1"/>
  <c r="L492" i="12"/>
  <c r="F492" i="12" s="1"/>
  <c r="H492" i="12" s="1"/>
  <c r="O491" i="12"/>
  <c r="J491" i="12" s="1"/>
  <c r="L491" i="12"/>
  <c r="F491" i="12" s="1"/>
  <c r="AF490" i="12"/>
  <c r="AE490" i="12"/>
  <c r="AB490" i="12"/>
  <c r="X490" i="12"/>
  <c r="W490" i="12"/>
  <c r="V490" i="12"/>
  <c r="S490" i="12"/>
  <c r="E490" i="12"/>
  <c r="C490" i="12"/>
  <c r="O489" i="12"/>
  <c r="L489" i="12"/>
  <c r="O487" i="12"/>
  <c r="L487" i="12"/>
  <c r="I487" i="12"/>
  <c r="H487" i="12"/>
  <c r="G487" i="12"/>
  <c r="J486" i="12"/>
  <c r="D486" i="12" s="1"/>
  <c r="D485" i="12" s="1"/>
  <c r="L486" i="12"/>
  <c r="F486" i="12" s="1"/>
  <c r="AF485" i="12"/>
  <c r="AE485" i="12"/>
  <c r="AD485" i="12"/>
  <c r="AC485" i="12"/>
  <c r="AA485" i="12"/>
  <c r="Z485" i="12"/>
  <c r="Y485" i="12"/>
  <c r="X485" i="12"/>
  <c r="W485" i="12"/>
  <c r="V485" i="12"/>
  <c r="U485" i="12"/>
  <c r="T485" i="12"/>
  <c r="R485" i="12"/>
  <c r="Q485" i="12"/>
  <c r="P485" i="12"/>
  <c r="E485" i="12"/>
  <c r="C485" i="12"/>
  <c r="D484" i="12"/>
  <c r="L484" i="12"/>
  <c r="F484" i="12" s="1"/>
  <c r="H484" i="12" s="1"/>
  <c r="L483" i="12"/>
  <c r="F483" i="12" s="1"/>
  <c r="D482" i="12"/>
  <c r="L482" i="12"/>
  <c r="D481" i="12"/>
  <c r="L481" i="12"/>
  <c r="F481" i="12" s="1"/>
  <c r="H481" i="12" s="1"/>
  <c r="L480" i="12"/>
  <c r="F480" i="12" s="1"/>
  <c r="L479" i="12"/>
  <c r="F479" i="12" s="1"/>
  <c r="H479" i="12" s="1"/>
  <c r="J478" i="12"/>
  <c r="L478" i="12"/>
  <c r="F478" i="12" s="1"/>
  <c r="H478" i="12" s="1"/>
  <c r="AF477" i="12"/>
  <c r="AE477" i="12"/>
  <c r="AD477" i="12"/>
  <c r="AC477" i="12"/>
  <c r="AB477" i="12"/>
  <c r="AA477" i="12"/>
  <c r="Z477" i="12"/>
  <c r="Y477" i="12"/>
  <c r="X477" i="12"/>
  <c r="W477" i="12"/>
  <c r="V477" i="12"/>
  <c r="U477" i="12"/>
  <c r="T477" i="12"/>
  <c r="S477" i="12"/>
  <c r="R477" i="12"/>
  <c r="Q477" i="12"/>
  <c r="P477" i="12"/>
  <c r="E477" i="12"/>
  <c r="C477" i="12"/>
  <c r="J476" i="12"/>
  <c r="D476" i="12" s="1"/>
  <c r="L476" i="12"/>
  <c r="AF475" i="12"/>
  <c r="L475" i="12" s="1"/>
  <c r="F475" i="12" s="1"/>
  <c r="H475" i="12" s="1"/>
  <c r="J475" i="12"/>
  <c r="D475" i="12" s="1"/>
  <c r="AF474" i="12"/>
  <c r="L474" i="12" s="1"/>
  <c r="F474" i="12" s="1"/>
  <c r="O474" i="12"/>
  <c r="J474" i="12" s="1"/>
  <c r="AE473" i="12"/>
  <c r="AD473" i="12"/>
  <c r="AC473" i="12"/>
  <c r="AB473" i="12"/>
  <c r="AA473" i="12"/>
  <c r="Z473" i="12"/>
  <c r="Y473" i="12"/>
  <c r="X473" i="12"/>
  <c r="W473" i="12"/>
  <c r="V473" i="12"/>
  <c r="U473" i="12"/>
  <c r="T473" i="12"/>
  <c r="S473" i="12"/>
  <c r="R473" i="12"/>
  <c r="Q473" i="12"/>
  <c r="P473" i="12"/>
  <c r="E473" i="12"/>
  <c r="C473" i="12"/>
  <c r="D472" i="12"/>
  <c r="L472" i="12"/>
  <c r="F472" i="12" s="1"/>
  <c r="J471" i="12"/>
  <c r="D471" i="12" s="1"/>
  <c r="L471" i="12"/>
  <c r="F471" i="12" s="1"/>
  <c r="H471" i="12" s="1"/>
  <c r="J470" i="12"/>
  <c r="D470" i="12" s="1"/>
  <c r="L470" i="12"/>
  <c r="F470" i="12" s="1"/>
  <c r="H470" i="12" s="1"/>
  <c r="J469" i="12"/>
  <c r="L469" i="12"/>
  <c r="F469" i="12" s="1"/>
  <c r="H469" i="12" s="1"/>
  <c r="AF468" i="12"/>
  <c r="AE468" i="12"/>
  <c r="AD468" i="12"/>
  <c r="AC468" i="12"/>
  <c r="AB468" i="12"/>
  <c r="AA468" i="12"/>
  <c r="Z468" i="12"/>
  <c r="Y468" i="12"/>
  <c r="X468" i="12"/>
  <c r="W468" i="12"/>
  <c r="V468" i="12"/>
  <c r="U468" i="12"/>
  <c r="T468" i="12"/>
  <c r="S468" i="12"/>
  <c r="R468" i="12"/>
  <c r="Q468" i="12"/>
  <c r="P468" i="12"/>
  <c r="E468" i="12"/>
  <c r="C468" i="12"/>
  <c r="L467" i="12"/>
  <c r="F467" i="12" s="1"/>
  <c r="O466" i="12"/>
  <c r="J466" i="12" s="1"/>
  <c r="L466" i="12"/>
  <c r="F466" i="12" s="1"/>
  <c r="H466" i="12" s="1"/>
  <c r="O465" i="12"/>
  <c r="J465" i="12" s="1"/>
  <c r="L465" i="12"/>
  <c r="F465" i="12" s="1"/>
  <c r="H465" i="12" s="1"/>
  <c r="L464" i="12"/>
  <c r="F464" i="12" s="1"/>
  <c r="AF463" i="12"/>
  <c r="AE463" i="12"/>
  <c r="AD463" i="12"/>
  <c r="AC463" i="12"/>
  <c r="AB463" i="12"/>
  <c r="AA463" i="12"/>
  <c r="Z463" i="12"/>
  <c r="Y463" i="12"/>
  <c r="X463" i="12"/>
  <c r="W463" i="12"/>
  <c r="V463" i="12"/>
  <c r="U463" i="12"/>
  <c r="T463" i="12"/>
  <c r="S463" i="12"/>
  <c r="R463" i="12"/>
  <c r="Q463" i="12"/>
  <c r="P463" i="12"/>
  <c r="E463" i="12"/>
  <c r="C463" i="12"/>
  <c r="O462" i="12"/>
  <c r="L462" i="12"/>
  <c r="AA460" i="12"/>
  <c r="R460" i="12" s="1"/>
  <c r="R459" i="12" s="1"/>
  <c r="Q460" i="12"/>
  <c r="O459" i="12"/>
  <c r="AF459" i="12"/>
  <c r="AE459" i="12"/>
  <c r="AD459" i="12"/>
  <c r="AC459" i="12"/>
  <c r="AB459" i="12"/>
  <c r="Z459" i="12"/>
  <c r="Y459" i="12"/>
  <c r="X459" i="12"/>
  <c r="W459" i="12"/>
  <c r="V459" i="12"/>
  <c r="U459" i="12"/>
  <c r="T459" i="12"/>
  <c r="S459" i="12"/>
  <c r="P459" i="12"/>
  <c r="E459" i="12"/>
  <c r="C459" i="12"/>
  <c r="L458" i="12"/>
  <c r="R457" i="12"/>
  <c r="R456" i="12" s="1"/>
  <c r="L457" i="12"/>
  <c r="F457" i="12" s="1"/>
  <c r="AF456" i="12"/>
  <c r="AE456" i="12"/>
  <c r="AD456" i="12"/>
  <c r="AC456" i="12"/>
  <c r="AB456" i="12"/>
  <c r="AA456" i="12"/>
  <c r="Z456" i="12"/>
  <c r="Y456" i="12"/>
  <c r="X456" i="12"/>
  <c r="W456" i="12"/>
  <c r="V456" i="12"/>
  <c r="U456" i="12"/>
  <c r="T456" i="12"/>
  <c r="S456" i="12"/>
  <c r="Q456" i="12"/>
  <c r="P456" i="12"/>
  <c r="E456" i="12"/>
  <c r="C456" i="12"/>
  <c r="L455" i="12"/>
  <c r="AA454" i="12"/>
  <c r="L454" i="12" s="1"/>
  <c r="F454" i="12" s="1"/>
  <c r="AF453" i="12"/>
  <c r="AE453" i="12"/>
  <c r="AD453" i="12"/>
  <c r="AC453" i="12"/>
  <c r="AB453" i="12"/>
  <c r="Z453" i="12"/>
  <c r="Y453" i="12"/>
  <c r="X453" i="12"/>
  <c r="W453" i="12"/>
  <c r="V453" i="12"/>
  <c r="U453" i="12"/>
  <c r="T453" i="12"/>
  <c r="S453" i="12"/>
  <c r="Q453" i="12"/>
  <c r="P453" i="12"/>
  <c r="E453" i="12"/>
  <c r="C453" i="12"/>
  <c r="L452" i="12"/>
  <c r="AA451" i="12"/>
  <c r="R451" i="12" s="1"/>
  <c r="R450" i="12" s="1"/>
  <c r="Q451" i="12"/>
  <c r="AF450" i="12"/>
  <c r="AE450" i="12"/>
  <c r="AD450" i="12"/>
  <c r="AC450" i="12"/>
  <c r="AB450" i="12"/>
  <c r="Z450" i="12"/>
  <c r="Y450" i="12"/>
  <c r="X450" i="12"/>
  <c r="W450" i="12"/>
  <c r="V450" i="12"/>
  <c r="U450" i="12"/>
  <c r="T450" i="12"/>
  <c r="S450" i="12"/>
  <c r="P450" i="12"/>
  <c r="E450" i="12"/>
  <c r="C450" i="12"/>
  <c r="L449" i="12"/>
  <c r="L448" i="12"/>
  <c r="L447" i="12"/>
  <c r="AF446" i="12"/>
  <c r="AE446" i="12"/>
  <c r="AD446" i="12"/>
  <c r="AC446" i="12"/>
  <c r="AB446" i="12"/>
  <c r="AA446" i="12"/>
  <c r="Z446" i="12"/>
  <c r="Y446" i="12"/>
  <c r="X446" i="12"/>
  <c r="W446" i="12"/>
  <c r="V446" i="12"/>
  <c r="U446" i="12"/>
  <c r="T446" i="12"/>
  <c r="S446" i="12"/>
  <c r="R446" i="12"/>
  <c r="Q446" i="12"/>
  <c r="P446" i="12"/>
  <c r="F446" i="12"/>
  <c r="E446" i="12"/>
  <c r="D446" i="12"/>
  <c r="C446" i="12"/>
  <c r="D445" i="12"/>
  <c r="L445" i="12"/>
  <c r="F445" i="12" s="1"/>
  <c r="O444" i="12"/>
  <c r="J444" i="12" s="1"/>
  <c r="D444" i="12" s="1"/>
  <c r="L444" i="12"/>
  <c r="O443" i="12"/>
  <c r="L443" i="12"/>
  <c r="F443" i="12" s="1"/>
  <c r="O442" i="12"/>
  <c r="L442" i="12"/>
  <c r="F442" i="12" s="1"/>
  <c r="AF441" i="12"/>
  <c r="AE441" i="12"/>
  <c r="AD441" i="12"/>
  <c r="AC441" i="12"/>
  <c r="AB441" i="12"/>
  <c r="AA441" i="12"/>
  <c r="Z441" i="12"/>
  <c r="Y441" i="12"/>
  <c r="X441" i="12"/>
  <c r="W441" i="12"/>
  <c r="V441" i="12"/>
  <c r="U441" i="12"/>
  <c r="T441" i="12"/>
  <c r="S441" i="12"/>
  <c r="R441" i="12"/>
  <c r="Q441" i="12"/>
  <c r="P441" i="12"/>
  <c r="E441" i="12"/>
  <c r="C441" i="12"/>
  <c r="O440" i="12"/>
  <c r="L440" i="12"/>
  <c r="AA438" i="12"/>
  <c r="R438" i="12" s="1"/>
  <c r="R437" i="12" s="1"/>
  <c r="Z438" i="12"/>
  <c r="O437" i="12"/>
  <c r="AF437" i="12"/>
  <c r="AE437" i="12"/>
  <c r="AD437" i="12"/>
  <c r="AC437" i="12"/>
  <c r="AB437" i="12"/>
  <c r="Y437" i="12"/>
  <c r="X437" i="12"/>
  <c r="W437" i="12"/>
  <c r="V437" i="12"/>
  <c r="U437" i="12"/>
  <c r="T437" i="12"/>
  <c r="S437" i="12"/>
  <c r="P437" i="12"/>
  <c r="E437" i="12"/>
  <c r="C437" i="12"/>
  <c r="D436" i="12"/>
  <c r="G436" i="12" s="1"/>
  <c r="L436" i="12"/>
  <c r="H436" i="12"/>
  <c r="O435" i="12"/>
  <c r="J435" i="12" s="1"/>
  <c r="L435" i="12"/>
  <c r="F435" i="12" s="1"/>
  <c r="H435" i="12" s="1"/>
  <c r="P429" i="12"/>
  <c r="L434" i="12"/>
  <c r="G434" i="12"/>
  <c r="O433" i="12"/>
  <c r="J433" i="12" s="1"/>
  <c r="L433" i="12"/>
  <c r="H433" i="12"/>
  <c r="O432" i="12"/>
  <c r="J432" i="12" s="1"/>
  <c r="L432" i="12"/>
  <c r="H432" i="12"/>
  <c r="G432" i="12"/>
  <c r="O431" i="12"/>
  <c r="L431" i="12"/>
  <c r="F431" i="12" s="1"/>
  <c r="H431" i="12" s="1"/>
  <c r="L430" i="12"/>
  <c r="H430" i="12"/>
  <c r="G430" i="12"/>
  <c r="AF429" i="12"/>
  <c r="AE429" i="12"/>
  <c r="AD429" i="12"/>
  <c r="AC429" i="12"/>
  <c r="AB429" i="12"/>
  <c r="AA429" i="12"/>
  <c r="Z429" i="12"/>
  <c r="Y429" i="12"/>
  <c r="X429" i="12"/>
  <c r="W429" i="12"/>
  <c r="V429" i="12"/>
  <c r="U429" i="12"/>
  <c r="T429" i="12"/>
  <c r="S429" i="12"/>
  <c r="R429" i="12"/>
  <c r="E429" i="12"/>
  <c r="C429" i="12"/>
  <c r="L428" i="12"/>
  <c r="G428" i="12"/>
  <c r="L427" i="12"/>
  <c r="G427" i="12"/>
  <c r="L426" i="12"/>
  <c r="F426" i="12" s="1"/>
  <c r="AA425" i="12"/>
  <c r="R424" i="12" s="1"/>
  <c r="Z425" i="12"/>
  <c r="G425" i="12"/>
  <c r="C425" i="12"/>
  <c r="C424" i="12" s="1"/>
  <c r="AF424" i="12"/>
  <c r="AE424" i="12"/>
  <c r="AD424" i="12"/>
  <c r="AC424" i="12"/>
  <c r="AB424" i="12"/>
  <c r="Y424" i="12"/>
  <c r="X424" i="12"/>
  <c r="W424" i="12"/>
  <c r="V424" i="12"/>
  <c r="U424" i="12"/>
  <c r="T424" i="12"/>
  <c r="S424" i="12"/>
  <c r="P424" i="12"/>
  <c r="E424" i="12"/>
  <c r="D424" i="12"/>
  <c r="L423" i="12"/>
  <c r="L422" i="12"/>
  <c r="H422" i="12"/>
  <c r="G422" i="12"/>
  <c r="L421" i="12"/>
  <c r="G421" i="12"/>
  <c r="L420" i="12"/>
  <c r="J419" i="12"/>
  <c r="L419" i="12"/>
  <c r="F419" i="12" s="1"/>
  <c r="H419" i="12" s="1"/>
  <c r="AA418" i="12"/>
  <c r="AA417" i="12" s="1"/>
  <c r="Z418" i="12"/>
  <c r="H418" i="12"/>
  <c r="G418" i="12"/>
  <c r="AF417" i="12"/>
  <c r="AE417" i="12"/>
  <c r="AD417" i="12"/>
  <c r="AC417" i="12"/>
  <c r="AB417" i="12"/>
  <c r="Y417" i="12"/>
  <c r="X417" i="12"/>
  <c r="W417" i="12"/>
  <c r="V417" i="12"/>
  <c r="U417" i="12"/>
  <c r="T417" i="12"/>
  <c r="S417" i="12"/>
  <c r="P417" i="12"/>
  <c r="E417" i="12"/>
  <c r="C417" i="12"/>
  <c r="J416" i="12"/>
  <c r="D416" i="12" s="1"/>
  <c r="L416" i="12"/>
  <c r="F416" i="12" s="1"/>
  <c r="J415" i="12"/>
  <c r="L415" i="12"/>
  <c r="J414" i="12"/>
  <c r="L414" i="12"/>
  <c r="H414" i="12"/>
  <c r="J413" i="12"/>
  <c r="L413" i="12"/>
  <c r="H413" i="12"/>
  <c r="G413" i="12"/>
  <c r="J412" i="12"/>
  <c r="L412" i="12"/>
  <c r="H412" i="12"/>
  <c r="G412" i="12"/>
  <c r="AF411" i="12"/>
  <c r="AE411" i="12"/>
  <c r="AD411" i="12"/>
  <c r="AC411" i="12"/>
  <c r="AB411" i="12"/>
  <c r="AA411" i="12"/>
  <c r="Z411" i="12"/>
  <c r="Y411" i="12"/>
  <c r="X411" i="12"/>
  <c r="W411" i="12"/>
  <c r="V411" i="12"/>
  <c r="U411" i="12"/>
  <c r="T411" i="12"/>
  <c r="S411" i="12"/>
  <c r="R411" i="12"/>
  <c r="Q411" i="12"/>
  <c r="P411" i="12"/>
  <c r="E411" i="12"/>
  <c r="C411" i="12"/>
  <c r="J410" i="12"/>
  <c r="D410" i="12" s="1"/>
  <c r="G410" i="12" s="1"/>
  <c r="L410" i="12"/>
  <c r="H410" i="12"/>
  <c r="O409" i="12"/>
  <c r="J409" i="12" s="1"/>
  <c r="L409" i="12"/>
  <c r="F409" i="12" s="1"/>
  <c r="H409" i="12" s="1"/>
  <c r="O408" i="12"/>
  <c r="J408" i="12" s="1"/>
  <c r="L408" i="12"/>
  <c r="F408" i="12" s="1"/>
  <c r="O407" i="12"/>
  <c r="J407" i="12" s="1"/>
  <c r="L407" i="12"/>
  <c r="F407" i="12" s="1"/>
  <c r="H407" i="12" s="1"/>
  <c r="AF406" i="12"/>
  <c r="AE406" i="12"/>
  <c r="AD406" i="12"/>
  <c r="AC406" i="12"/>
  <c r="AB406" i="12"/>
  <c r="AA406" i="12"/>
  <c r="Z406" i="12"/>
  <c r="Y406" i="12"/>
  <c r="X406" i="12"/>
  <c r="W406" i="12"/>
  <c r="V406" i="12"/>
  <c r="U406" i="12"/>
  <c r="T406" i="12"/>
  <c r="S406" i="12"/>
  <c r="R406" i="12"/>
  <c r="Q406" i="12"/>
  <c r="P406" i="12"/>
  <c r="E406" i="12"/>
  <c r="C406" i="12"/>
  <c r="O405" i="12"/>
  <c r="L405" i="12"/>
  <c r="L403" i="12"/>
  <c r="Q402" i="12"/>
  <c r="O402" i="12"/>
  <c r="L402" i="12"/>
  <c r="N402" i="12" s="1"/>
  <c r="L401" i="12"/>
  <c r="Q400" i="12"/>
  <c r="O400" i="12"/>
  <c r="L400" i="12"/>
  <c r="N400" i="12" s="1"/>
  <c r="L399" i="12"/>
  <c r="Q398" i="12"/>
  <c r="O398" i="12"/>
  <c r="L398" i="12"/>
  <c r="N398" i="12" s="1"/>
  <c r="L397" i="12"/>
  <c r="U396" i="12"/>
  <c r="Q396" i="12"/>
  <c r="O396" i="12"/>
  <c r="L396" i="12"/>
  <c r="N396" i="12" s="1"/>
  <c r="L395" i="12"/>
  <c r="Q394" i="12"/>
  <c r="O394" i="12"/>
  <c r="L394" i="12"/>
  <c r="N394" i="12" s="1"/>
  <c r="L393" i="12"/>
  <c r="Q392" i="12"/>
  <c r="O392" i="12"/>
  <c r="L392" i="12"/>
  <c r="E392" i="12"/>
  <c r="C392" i="12"/>
  <c r="L391" i="12"/>
  <c r="Q390" i="12"/>
  <c r="O390" i="12"/>
  <c r="L390" i="12"/>
  <c r="N390" i="12" s="1"/>
  <c r="L389" i="12"/>
  <c r="Q388" i="12"/>
  <c r="O388" i="12"/>
  <c r="L388" i="12"/>
  <c r="L387" i="12"/>
  <c r="Q386" i="12"/>
  <c r="O386" i="12"/>
  <c r="L386" i="12"/>
  <c r="N386" i="12" s="1"/>
  <c r="L385" i="12"/>
  <c r="Q384" i="12"/>
  <c r="O384" i="12"/>
  <c r="L384" i="12"/>
  <c r="N384" i="12" s="1"/>
  <c r="L383" i="12"/>
  <c r="D383" i="12"/>
  <c r="Q382" i="12"/>
  <c r="O382" i="12"/>
  <c r="L382" i="12"/>
  <c r="N382" i="12" s="1"/>
  <c r="L381" i="12"/>
  <c r="D381" i="12"/>
  <c r="Q380" i="12"/>
  <c r="O380" i="12"/>
  <c r="L380" i="12"/>
  <c r="N380" i="12" s="1"/>
  <c r="L379" i="12"/>
  <c r="F379" i="12" s="1"/>
  <c r="H379" i="12" s="1"/>
  <c r="D379" i="12"/>
  <c r="O378" i="12"/>
  <c r="J378" i="12" s="1"/>
  <c r="L378" i="12"/>
  <c r="F378" i="12" s="1"/>
  <c r="D377" i="12"/>
  <c r="L377" i="12"/>
  <c r="F377" i="12" s="1"/>
  <c r="J376" i="12"/>
  <c r="L376" i="12"/>
  <c r="F376" i="12" s="1"/>
  <c r="AF375" i="12"/>
  <c r="AE375" i="12"/>
  <c r="AD375" i="12"/>
  <c r="AC375" i="12"/>
  <c r="AB375" i="12"/>
  <c r="AA375" i="12"/>
  <c r="Z375" i="12"/>
  <c r="Y375" i="12"/>
  <c r="X375" i="12"/>
  <c r="W375" i="12"/>
  <c r="V375" i="12"/>
  <c r="U375" i="12"/>
  <c r="T375" i="12"/>
  <c r="S375" i="12"/>
  <c r="R375" i="12"/>
  <c r="Q375" i="12"/>
  <c r="P375" i="12"/>
  <c r="E375" i="12"/>
  <c r="C375" i="12"/>
  <c r="D374" i="12"/>
  <c r="L374" i="12"/>
  <c r="F374" i="12" s="1"/>
  <c r="O373" i="12"/>
  <c r="J373" i="12" s="1"/>
  <c r="L373" i="12"/>
  <c r="F373" i="12" s="1"/>
  <c r="H373" i="12" s="1"/>
  <c r="O372" i="12"/>
  <c r="L372" i="12"/>
  <c r="F372" i="12" s="1"/>
  <c r="H372" i="12" s="1"/>
  <c r="AF371" i="12"/>
  <c r="AE371" i="12"/>
  <c r="AD371" i="12"/>
  <c r="AC371" i="12"/>
  <c r="AB371" i="12"/>
  <c r="AA371" i="12"/>
  <c r="Z371" i="12"/>
  <c r="Y371" i="12"/>
  <c r="X371" i="12"/>
  <c r="W371" i="12"/>
  <c r="V371" i="12"/>
  <c r="U371" i="12"/>
  <c r="T371" i="12"/>
  <c r="S371" i="12"/>
  <c r="R371" i="12"/>
  <c r="Q371" i="12"/>
  <c r="P371" i="12"/>
  <c r="E371" i="12"/>
  <c r="C371" i="12"/>
  <c r="D370" i="12"/>
  <c r="L370" i="12"/>
  <c r="F370" i="12" s="1"/>
  <c r="J369" i="12"/>
  <c r="J368" i="12" s="1"/>
  <c r="L369" i="12"/>
  <c r="F369" i="12" s="1"/>
  <c r="AF368" i="12"/>
  <c r="AE368" i="12"/>
  <c r="AD368" i="12"/>
  <c r="AC368" i="12"/>
  <c r="AB368" i="12"/>
  <c r="AA368" i="12"/>
  <c r="Z368" i="12"/>
  <c r="Y368" i="12"/>
  <c r="X368" i="12"/>
  <c r="W368" i="12"/>
  <c r="V368" i="12"/>
  <c r="U368" i="12"/>
  <c r="T368" i="12"/>
  <c r="S368" i="12"/>
  <c r="R368" i="12"/>
  <c r="Q368" i="12"/>
  <c r="P368" i="12"/>
  <c r="E368" i="12"/>
  <c r="C368" i="12"/>
  <c r="D367" i="12"/>
  <c r="L367" i="12"/>
  <c r="F367" i="12" s="1"/>
  <c r="J366" i="12"/>
  <c r="J365" i="12" s="1"/>
  <c r="L366" i="12"/>
  <c r="F366" i="12" s="1"/>
  <c r="AF365" i="12"/>
  <c r="AE365" i="12"/>
  <c r="AD365" i="12"/>
  <c r="AC365" i="12"/>
  <c r="AB365" i="12"/>
  <c r="AA365" i="12"/>
  <c r="Z365" i="12"/>
  <c r="Y365" i="12"/>
  <c r="X365" i="12"/>
  <c r="W365" i="12"/>
  <c r="V365" i="12"/>
  <c r="U365" i="12"/>
  <c r="T365" i="12"/>
  <c r="S365" i="12"/>
  <c r="R365" i="12"/>
  <c r="Q365" i="12"/>
  <c r="P365" i="12"/>
  <c r="E365" i="12"/>
  <c r="C365" i="12"/>
  <c r="D364" i="12"/>
  <c r="L364" i="12"/>
  <c r="F364" i="12" s="1"/>
  <c r="O363" i="12"/>
  <c r="L363" i="12"/>
  <c r="F363" i="12" s="1"/>
  <c r="H363" i="12" s="1"/>
  <c r="AF362" i="12"/>
  <c r="AE362" i="12"/>
  <c r="AD362" i="12"/>
  <c r="AC362" i="12"/>
  <c r="AB362" i="12"/>
  <c r="AA362" i="12"/>
  <c r="Z362" i="12"/>
  <c r="Y362" i="12"/>
  <c r="X362" i="12"/>
  <c r="W362" i="12"/>
  <c r="V362" i="12"/>
  <c r="U362" i="12"/>
  <c r="T362" i="12"/>
  <c r="S362" i="12"/>
  <c r="R362" i="12"/>
  <c r="Q362" i="12"/>
  <c r="P362" i="12"/>
  <c r="E362" i="12"/>
  <c r="C362" i="12"/>
  <c r="O361" i="12"/>
  <c r="J361" i="12" s="1"/>
  <c r="L361" i="12"/>
  <c r="F361" i="12" s="1"/>
  <c r="G361" i="12" s="1"/>
  <c r="L360" i="12"/>
  <c r="X359" i="12"/>
  <c r="L359" i="12" s="1"/>
  <c r="F359" i="12" s="1"/>
  <c r="H359" i="12" s="1"/>
  <c r="J358" i="12"/>
  <c r="D358" i="12" s="1"/>
  <c r="L358" i="12"/>
  <c r="F358" i="12" s="1"/>
  <c r="X357" i="12"/>
  <c r="L357" i="12" s="1"/>
  <c r="F357" i="12" s="1"/>
  <c r="O356" i="12"/>
  <c r="L356" i="12"/>
  <c r="M356" i="12" s="1"/>
  <c r="AF355" i="12"/>
  <c r="AE355" i="12"/>
  <c r="AD355" i="12"/>
  <c r="AC355" i="12"/>
  <c r="AB355" i="12"/>
  <c r="AA355" i="12"/>
  <c r="Z355" i="12"/>
  <c r="Y355" i="12"/>
  <c r="W355" i="12"/>
  <c r="V355" i="12"/>
  <c r="U355" i="12"/>
  <c r="T355" i="12"/>
  <c r="S355" i="12"/>
  <c r="R355" i="12"/>
  <c r="Q355" i="12"/>
  <c r="P355" i="12"/>
  <c r="E355" i="12"/>
  <c r="C355" i="12"/>
  <c r="O354" i="12"/>
  <c r="J354" i="12" s="1"/>
  <c r="L354" i="12"/>
  <c r="F354" i="12" s="1"/>
  <c r="H354" i="12" s="1"/>
  <c r="J353" i="12"/>
  <c r="L353" i="12"/>
  <c r="F353" i="12" s="1"/>
  <c r="H353" i="12" s="1"/>
  <c r="O352" i="12"/>
  <c r="J352" i="12" s="1"/>
  <c r="L352" i="12"/>
  <c r="F352" i="12" s="1"/>
  <c r="H352" i="12" s="1"/>
  <c r="X351" i="12"/>
  <c r="L351" i="12" s="1"/>
  <c r="F351" i="12" s="1"/>
  <c r="C351" i="12"/>
  <c r="C348" i="12" s="1"/>
  <c r="X350" i="12"/>
  <c r="O349" i="12"/>
  <c r="J349" i="12" s="1"/>
  <c r="L349" i="12"/>
  <c r="F349" i="12" s="1"/>
  <c r="AF348" i="12"/>
  <c r="AE348" i="12"/>
  <c r="AD348" i="12"/>
  <c r="AC348" i="12"/>
  <c r="AB348" i="12"/>
  <c r="AA348" i="12"/>
  <c r="Z348" i="12"/>
  <c r="Y348" i="12"/>
  <c r="W348" i="12"/>
  <c r="V348" i="12"/>
  <c r="U348" i="12"/>
  <c r="T348" i="12"/>
  <c r="S348" i="12"/>
  <c r="R348" i="12"/>
  <c r="Q348" i="12"/>
  <c r="P348" i="12"/>
  <c r="E348" i="12"/>
  <c r="L347" i="12"/>
  <c r="O346" i="12"/>
  <c r="J346" i="12" s="1"/>
  <c r="J345" i="12" s="1"/>
  <c r="L346" i="12"/>
  <c r="F346" i="12" s="1"/>
  <c r="H346" i="12" s="1"/>
  <c r="AF345" i="12"/>
  <c r="AE345" i="12"/>
  <c r="AD345" i="12"/>
  <c r="AC345" i="12"/>
  <c r="AB345" i="12"/>
  <c r="AA345" i="12"/>
  <c r="Z345" i="12"/>
  <c r="Y345" i="12"/>
  <c r="X345" i="12"/>
  <c r="W345" i="12"/>
  <c r="V345" i="12"/>
  <c r="U345" i="12"/>
  <c r="T345" i="12"/>
  <c r="S345" i="12"/>
  <c r="R345" i="12"/>
  <c r="Q345" i="12"/>
  <c r="P345" i="12"/>
  <c r="E345" i="12"/>
  <c r="C345" i="12"/>
  <c r="X344" i="12"/>
  <c r="L344" i="12" s="1"/>
  <c r="F344" i="12" s="1"/>
  <c r="O343" i="12"/>
  <c r="J343" i="12" s="1"/>
  <c r="L343" i="12"/>
  <c r="F343" i="12" s="1"/>
  <c r="H343" i="12" s="1"/>
  <c r="J342" i="12"/>
  <c r="L342" i="12"/>
  <c r="F342" i="12" s="1"/>
  <c r="H342" i="12" s="1"/>
  <c r="AF341" i="12"/>
  <c r="AE341" i="12"/>
  <c r="AD341" i="12"/>
  <c r="AC341" i="12"/>
  <c r="AB341" i="12"/>
  <c r="AA341" i="12"/>
  <c r="Z341" i="12"/>
  <c r="Y341" i="12"/>
  <c r="W341" i="12"/>
  <c r="V341" i="12"/>
  <c r="U341" i="12"/>
  <c r="T341" i="12"/>
  <c r="S341" i="12"/>
  <c r="R341" i="12"/>
  <c r="Q341" i="12"/>
  <c r="P341" i="12"/>
  <c r="E341" i="12"/>
  <c r="C341" i="12"/>
  <c r="D340" i="12"/>
  <c r="L340" i="12"/>
  <c r="F340" i="12" s="1"/>
  <c r="H340" i="12" s="1"/>
  <c r="D339" i="12"/>
  <c r="L339" i="12"/>
  <c r="F339" i="12" s="1"/>
  <c r="H339" i="12" s="1"/>
  <c r="L338" i="12"/>
  <c r="F338" i="12" s="1"/>
  <c r="J338" i="12"/>
  <c r="D338" i="12" s="1"/>
  <c r="L337" i="12"/>
  <c r="J337" i="12"/>
  <c r="E336" i="12"/>
  <c r="AF336" i="12"/>
  <c r="AE336" i="12"/>
  <c r="AD336" i="12"/>
  <c r="AC336" i="12"/>
  <c r="AB336" i="12"/>
  <c r="AA336" i="12"/>
  <c r="Z336" i="12"/>
  <c r="Y336" i="12"/>
  <c r="X336" i="12"/>
  <c r="W336" i="12"/>
  <c r="V336" i="12"/>
  <c r="U336" i="12"/>
  <c r="T336" i="12"/>
  <c r="S336" i="12"/>
  <c r="R336" i="12"/>
  <c r="Q336" i="12"/>
  <c r="P336" i="12"/>
  <c r="C336" i="12"/>
  <c r="J334" i="12"/>
  <c r="L334" i="12"/>
  <c r="AF333" i="12"/>
  <c r="AE333" i="12"/>
  <c r="AD333" i="12"/>
  <c r="AC333" i="12"/>
  <c r="AB333" i="12"/>
  <c r="AA333" i="12"/>
  <c r="Z333" i="12"/>
  <c r="Y333" i="12"/>
  <c r="X333" i="12"/>
  <c r="W333" i="12"/>
  <c r="F333" i="12"/>
  <c r="E333" i="12"/>
  <c r="J332" i="12"/>
  <c r="L332" i="12"/>
  <c r="H332" i="12"/>
  <c r="G332" i="12"/>
  <c r="J331" i="12"/>
  <c r="G331" i="12" s="1"/>
  <c r="L331" i="12"/>
  <c r="H331" i="12"/>
  <c r="J330" i="12"/>
  <c r="L330" i="12"/>
  <c r="H330" i="12"/>
  <c r="O329" i="12"/>
  <c r="J329" i="12" s="1"/>
  <c r="L329" i="12"/>
  <c r="H329" i="12"/>
  <c r="G329" i="12"/>
  <c r="J328" i="12"/>
  <c r="L328" i="12"/>
  <c r="H328" i="12"/>
  <c r="G328" i="12"/>
  <c r="J327" i="12"/>
  <c r="L327" i="12"/>
  <c r="H327" i="12"/>
  <c r="G327" i="12"/>
  <c r="AF326" i="12"/>
  <c r="AE326" i="12"/>
  <c r="AD326" i="12"/>
  <c r="AC326" i="12"/>
  <c r="AB326" i="12"/>
  <c r="AA326" i="12"/>
  <c r="Z326" i="12"/>
  <c r="Y326" i="12"/>
  <c r="X326" i="12"/>
  <c r="W326" i="12"/>
  <c r="V326" i="12"/>
  <c r="U326" i="12"/>
  <c r="T326" i="12"/>
  <c r="S326" i="12"/>
  <c r="R326" i="12"/>
  <c r="Q326" i="12"/>
  <c r="P326" i="12"/>
  <c r="F326" i="12"/>
  <c r="E326" i="12"/>
  <c r="C326" i="12"/>
  <c r="X325" i="12"/>
  <c r="F325" i="12"/>
  <c r="F324" i="12" s="1"/>
  <c r="AF324" i="12"/>
  <c r="AE324" i="12"/>
  <c r="AD324" i="12"/>
  <c r="AC324" i="12"/>
  <c r="AB324" i="12"/>
  <c r="AA324" i="12"/>
  <c r="Z324" i="12"/>
  <c r="Y324" i="12"/>
  <c r="W324" i="12"/>
  <c r="V324" i="12"/>
  <c r="U324" i="12"/>
  <c r="T324" i="12"/>
  <c r="S324" i="12"/>
  <c r="R324" i="12"/>
  <c r="Q324" i="12"/>
  <c r="P324" i="12"/>
  <c r="E324" i="12"/>
  <c r="C324" i="12"/>
  <c r="AE323" i="12"/>
  <c r="AE322" i="12" s="1"/>
  <c r="X323" i="12"/>
  <c r="V323" i="12"/>
  <c r="V322" i="12" s="1"/>
  <c r="R323" i="12"/>
  <c r="R322" i="12" s="1"/>
  <c r="F323" i="12"/>
  <c r="D322" i="12"/>
  <c r="AF322" i="12"/>
  <c r="AD322" i="12"/>
  <c r="AC322" i="12"/>
  <c r="AB322" i="12"/>
  <c r="AA322" i="12"/>
  <c r="Z322" i="12"/>
  <c r="Y322" i="12"/>
  <c r="W322" i="12"/>
  <c r="U322" i="12"/>
  <c r="T322" i="12"/>
  <c r="S322" i="12"/>
  <c r="Q322" i="12"/>
  <c r="P322" i="12"/>
  <c r="E322" i="12"/>
  <c r="C322" i="12"/>
  <c r="J319" i="12"/>
  <c r="J318" i="12" s="1"/>
  <c r="L319" i="12"/>
  <c r="F319" i="12"/>
  <c r="C319" i="12"/>
  <c r="AF318" i="12"/>
  <c r="AE318" i="12"/>
  <c r="AD318" i="12"/>
  <c r="AC318" i="12"/>
  <c r="AB318" i="12"/>
  <c r="AA318" i="12"/>
  <c r="Z318" i="12"/>
  <c r="Y318" i="12"/>
  <c r="X318" i="12"/>
  <c r="W318" i="12"/>
  <c r="V318" i="12"/>
  <c r="U318" i="12"/>
  <c r="T318" i="12"/>
  <c r="S318" i="12"/>
  <c r="R318" i="12"/>
  <c r="Q318" i="12"/>
  <c r="P318" i="12"/>
  <c r="E318" i="12"/>
  <c r="D318" i="12"/>
  <c r="C318" i="12"/>
  <c r="L317" i="12"/>
  <c r="L316" i="12"/>
  <c r="AF315" i="12"/>
  <c r="AE315" i="12"/>
  <c r="AD315" i="12"/>
  <c r="AC315" i="12"/>
  <c r="AB315" i="12"/>
  <c r="AA315" i="12"/>
  <c r="Z315" i="12"/>
  <c r="Y315" i="12"/>
  <c r="X315" i="12"/>
  <c r="W315" i="12"/>
  <c r="V315" i="12"/>
  <c r="U315" i="12"/>
  <c r="T315" i="12"/>
  <c r="S315" i="12"/>
  <c r="R315" i="12"/>
  <c r="Q315" i="12"/>
  <c r="P315" i="12"/>
  <c r="O315" i="12"/>
  <c r="F315" i="12"/>
  <c r="E315" i="12"/>
  <c r="D315" i="12"/>
  <c r="C315" i="12"/>
  <c r="R314" i="12"/>
  <c r="J314" i="12" s="1"/>
  <c r="L314" i="12"/>
  <c r="H314" i="12"/>
  <c r="G314" i="12"/>
  <c r="R313" i="12"/>
  <c r="J313" i="12" s="1"/>
  <c r="L313" i="12"/>
  <c r="G313" i="12"/>
  <c r="V312" i="12"/>
  <c r="R312" i="12"/>
  <c r="L312" i="12"/>
  <c r="G312" i="12"/>
  <c r="C312" i="12"/>
  <c r="H312" i="12" s="1"/>
  <c r="R311" i="12"/>
  <c r="L311" i="12"/>
  <c r="F311" i="12" s="1"/>
  <c r="H311" i="12" s="1"/>
  <c r="R310" i="12"/>
  <c r="J310" i="12" s="1"/>
  <c r="L310" i="12"/>
  <c r="F310" i="12" s="1"/>
  <c r="H310" i="12" s="1"/>
  <c r="V309" i="12"/>
  <c r="R309" i="12"/>
  <c r="L309" i="12"/>
  <c r="H309" i="12"/>
  <c r="R308" i="12"/>
  <c r="J308" i="12" s="1"/>
  <c r="L308" i="12"/>
  <c r="H308" i="12"/>
  <c r="G308" i="12"/>
  <c r="R307" i="12"/>
  <c r="L307" i="12"/>
  <c r="H307" i="12"/>
  <c r="G307" i="12"/>
  <c r="V306" i="12"/>
  <c r="L306" i="12"/>
  <c r="F306" i="12" s="1"/>
  <c r="H306" i="12" s="1"/>
  <c r="L305" i="12"/>
  <c r="F305" i="12" s="1"/>
  <c r="H305" i="12" s="1"/>
  <c r="J305" i="12"/>
  <c r="J304" i="12"/>
  <c r="L304" i="12"/>
  <c r="F304" i="12" s="1"/>
  <c r="H304" i="12" s="1"/>
  <c r="V303" i="12"/>
  <c r="J303" i="12" s="1"/>
  <c r="L303" i="12"/>
  <c r="F303" i="12" s="1"/>
  <c r="G303" i="12" s="1"/>
  <c r="AF302" i="12"/>
  <c r="AE302" i="12"/>
  <c r="AD302" i="12"/>
  <c r="AC302" i="12"/>
  <c r="AB302" i="12"/>
  <c r="AA302" i="12"/>
  <c r="Z302" i="12"/>
  <c r="Y302" i="12"/>
  <c r="X302" i="12"/>
  <c r="W302" i="12"/>
  <c r="U302" i="12"/>
  <c r="T302" i="12"/>
  <c r="S302" i="12"/>
  <c r="Q302" i="12"/>
  <c r="P302" i="12"/>
  <c r="E302" i="12"/>
  <c r="L301" i="12"/>
  <c r="F301" i="12" s="1"/>
  <c r="H301" i="12" s="1"/>
  <c r="J301" i="12"/>
  <c r="L300" i="12"/>
  <c r="J300" i="12"/>
  <c r="H300" i="12"/>
  <c r="G300" i="12"/>
  <c r="L299" i="12"/>
  <c r="F299" i="12" s="1"/>
  <c r="J299" i="12"/>
  <c r="L298" i="12"/>
  <c r="J298" i="12"/>
  <c r="H298" i="12"/>
  <c r="G298" i="12"/>
  <c r="L297" i="12"/>
  <c r="J297" i="12"/>
  <c r="H297" i="12"/>
  <c r="G297" i="12"/>
  <c r="AF296" i="12"/>
  <c r="AE296" i="12"/>
  <c r="AD296" i="12"/>
  <c r="AC296" i="12"/>
  <c r="AB296" i="12"/>
  <c r="AA296" i="12"/>
  <c r="Z296" i="12"/>
  <c r="Y296" i="12"/>
  <c r="X296" i="12"/>
  <c r="W296" i="12"/>
  <c r="V296" i="12"/>
  <c r="U296" i="12"/>
  <c r="T296" i="12"/>
  <c r="S296" i="12"/>
  <c r="R296" i="12"/>
  <c r="Q296" i="12"/>
  <c r="P296" i="12"/>
  <c r="O296" i="12"/>
  <c r="E296" i="12"/>
  <c r="D296" i="12"/>
  <c r="C296" i="12"/>
  <c r="J294" i="12"/>
  <c r="L294" i="12"/>
  <c r="F294" i="12" s="1"/>
  <c r="H294" i="12" s="1"/>
  <c r="AF293" i="12"/>
  <c r="AE293" i="12"/>
  <c r="AD293" i="12"/>
  <c r="AC293" i="12"/>
  <c r="AB293" i="12"/>
  <c r="AA293" i="12"/>
  <c r="Z293" i="12"/>
  <c r="Y293" i="12"/>
  <c r="X293" i="12"/>
  <c r="W293" i="12"/>
  <c r="V293" i="12"/>
  <c r="U293" i="12"/>
  <c r="T293" i="12"/>
  <c r="S293" i="12"/>
  <c r="R293" i="12"/>
  <c r="Q293" i="12"/>
  <c r="P293" i="12"/>
  <c r="E293" i="12"/>
  <c r="D293" i="12"/>
  <c r="C293" i="12"/>
  <c r="J292" i="12"/>
  <c r="L292" i="12"/>
  <c r="F292" i="12" s="1"/>
  <c r="H292" i="12" s="1"/>
  <c r="X291" i="12"/>
  <c r="V290" i="12"/>
  <c r="V287" i="12" s="1"/>
  <c r="L290" i="12"/>
  <c r="H290" i="12"/>
  <c r="J289" i="12"/>
  <c r="L289" i="12"/>
  <c r="F289" i="12" s="1"/>
  <c r="H289" i="12" s="1"/>
  <c r="J288" i="12"/>
  <c r="L288" i="12"/>
  <c r="F288" i="12" s="1"/>
  <c r="H288" i="12" s="1"/>
  <c r="AF287" i="12"/>
  <c r="AE287" i="12"/>
  <c r="AD287" i="12"/>
  <c r="AC287" i="12"/>
  <c r="AB287" i="12"/>
  <c r="AA287" i="12"/>
  <c r="Z287" i="12"/>
  <c r="Y287" i="12"/>
  <c r="W287" i="12"/>
  <c r="U287" i="12"/>
  <c r="T287" i="12"/>
  <c r="S287" i="12"/>
  <c r="R287" i="12"/>
  <c r="Q287" i="12"/>
  <c r="P287" i="12"/>
  <c r="E287" i="12"/>
  <c r="C287" i="12"/>
  <c r="J286" i="12"/>
  <c r="L286" i="12"/>
  <c r="F286" i="12" s="1"/>
  <c r="H286" i="12" s="1"/>
  <c r="J285" i="12"/>
  <c r="L285" i="12"/>
  <c r="F285" i="12" s="1"/>
  <c r="H285" i="12" s="1"/>
  <c r="J284" i="12"/>
  <c r="L284" i="12"/>
  <c r="F284" i="12" s="1"/>
  <c r="H284" i="12" s="1"/>
  <c r="J283" i="12"/>
  <c r="L283" i="12"/>
  <c r="F283" i="12" s="1"/>
  <c r="H283" i="12" s="1"/>
  <c r="J282" i="12"/>
  <c r="L282" i="12"/>
  <c r="F282" i="12" s="1"/>
  <c r="H282" i="12" s="1"/>
  <c r="J281" i="12"/>
  <c r="L281" i="12"/>
  <c r="F281" i="12" s="1"/>
  <c r="H281" i="12" s="1"/>
  <c r="J280" i="12"/>
  <c r="L280" i="12"/>
  <c r="F280" i="12" s="1"/>
  <c r="H280" i="12" s="1"/>
  <c r="J279" i="12"/>
  <c r="L279" i="12"/>
  <c r="F279" i="12" s="1"/>
  <c r="H279" i="12" s="1"/>
  <c r="J278" i="12"/>
  <c r="L278" i="12"/>
  <c r="F278" i="12" s="1"/>
  <c r="H278" i="12" s="1"/>
  <c r="J277" i="12"/>
  <c r="L277" i="12"/>
  <c r="F277" i="12" s="1"/>
  <c r="H277" i="12" s="1"/>
  <c r="J276" i="12"/>
  <c r="L276" i="12"/>
  <c r="F276" i="12" s="1"/>
  <c r="H276" i="12" s="1"/>
  <c r="J275" i="12"/>
  <c r="L275" i="12"/>
  <c r="F275" i="12" s="1"/>
  <c r="AF274" i="12"/>
  <c r="AE274" i="12"/>
  <c r="AD274" i="12"/>
  <c r="AC274" i="12"/>
  <c r="AB274" i="12"/>
  <c r="AA274" i="12"/>
  <c r="Z274" i="12"/>
  <c r="Y274" i="12"/>
  <c r="X274" i="12"/>
  <c r="W274" i="12"/>
  <c r="V274" i="12"/>
  <c r="U274" i="12"/>
  <c r="T274" i="12"/>
  <c r="S274" i="12"/>
  <c r="R274" i="12"/>
  <c r="Q274" i="12"/>
  <c r="P274" i="12"/>
  <c r="E274" i="12"/>
  <c r="C274" i="12"/>
  <c r="O273" i="12"/>
  <c r="L273" i="12"/>
  <c r="J271" i="12"/>
  <c r="L271" i="12"/>
  <c r="H271" i="12"/>
  <c r="G271" i="12"/>
  <c r="AF270" i="12"/>
  <c r="AE270" i="12"/>
  <c r="AD270" i="12"/>
  <c r="AC270" i="12"/>
  <c r="AB270" i="12"/>
  <c r="AA270" i="12"/>
  <c r="Z270" i="12"/>
  <c r="Y270" i="12"/>
  <c r="X270" i="12"/>
  <c r="W270" i="12"/>
  <c r="V270" i="12"/>
  <c r="U270" i="12"/>
  <c r="T270" i="12"/>
  <c r="S270" i="12"/>
  <c r="R270" i="12"/>
  <c r="Q270" i="12"/>
  <c r="P270" i="12"/>
  <c r="F270" i="12"/>
  <c r="E270" i="12"/>
  <c r="D270" i="12"/>
  <c r="C270" i="12"/>
  <c r="L269" i="12"/>
  <c r="H269" i="12"/>
  <c r="J268" i="12"/>
  <c r="J265" i="12" s="1"/>
  <c r="L268" i="12"/>
  <c r="F268" i="12" s="1"/>
  <c r="H268" i="12" s="1"/>
  <c r="L267" i="12"/>
  <c r="L266" i="12"/>
  <c r="AF265" i="12"/>
  <c r="AE265" i="12"/>
  <c r="AD265" i="12"/>
  <c r="AC265" i="12"/>
  <c r="AB265" i="12"/>
  <c r="AA265" i="12"/>
  <c r="Z265" i="12"/>
  <c r="Y265" i="12"/>
  <c r="X265" i="12"/>
  <c r="E265" i="12"/>
  <c r="D265" i="12"/>
  <c r="C265" i="12"/>
  <c r="L264" i="12"/>
  <c r="L263" i="12"/>
  <c r="L262" i="12"/>
  <c r="F262" i="12" s="1"/>
  <c r="C262" i="12"/>
  <c r="C253" i="12" s="1"/>
  <c r="L261" i="12"/>
  <c r="F261" i="12" s="1"/>
  <c r="H261" i="12" s="1"/>
  <c r="L260" i="12"/>
  <c r="F260" i="12" s="1"/>
  <c r="G260" i="12" s="1"/>
  <c r="L259" i="12"/>
  <c r="F259" i="12" s="1"/>
  <c r="G259" i="12" s="1"/>
  <c r="L258" i="12"/>
  <c r="F258" i="12" s="1"/>
  <c r="G258" i="12" s="1"/>
  <c r="L257" i="12"/>
  <c r="H257" i="12"/>
  <c r="L256" i="12"/>
  <c r="F256" i="12" s="1"/>
  <c r="H256" i="12" s="1"/>
  <c r="J256" i="12"/>
  <c r="J255" i="12"/>
  <c r="L255" i="12"/>
  <c r="F255" i="12" s="1"/>
  <c r="E255" i="12"/>
  <c r="E253" i="12" s="1"/>
  <c r="D255" i="12"/>
  <c r="D253" i="12" s="1"/>
  <c r="L254" i="12"/>
  <c r="AF253" i="12"/>
  <c r="AE253" i="12"/>
  <c r="AD253" i="12"/>
  <c r="AC253" i="12"/>
  <c r="AB253" i="12"/>
  <c r="AA253" i="12"/>
  <c r="Z253" i="12"/>
  <c r="Y253" i="12"/>
  <c r="X253" i="12"/>
  <c r="L252" i="12"/>
  <c r="H252" i="12"/>
  <c r="J251" i="12"/>
  <c r="L251" i="12"/>
  <c r="H251" i="12"/>
  <c r="G251" i="12"/>
  <c r="J250" i="12"/>
  <c r="L250" i="12"/>
  <c r="H250" i="12"/>
  <c r="G250" i="12"/>
  <c r="J249" i="12"/>
  <c r="L249" i="12"/>
  <c r="H249" i="12"/>
  <c r="G249" i="12"/>
  <c r="J248" i="12"/>
  <c r="L248" i="12"/>
  <c r="H248" i="12"/>
  <c r="G248" i="12"/>
  <c r="AF247" i="12"/>
  <c r="AE247" i="12"/>
  <c r="AD247" i="12"/>
  <c r="AC247" i="12"/>
  <c r="AB247" i="12"/>
  <c r="AA247" i="12"/>
  <c r="Z247" i="12"/>
  <c r="Y247" i="12"/>
  <c r="X247" i="12"/>
  <c r="F247" i="12"/>
  <c r="E247" i="12"/>
  <c r="D247" i="12"/>
  <c r="C247" i="12"/>
  <c r="L246" i="12"/>
  <c r="H246" i="12"/>
  <c r="E246" i="12"/>
  <c r="L245" i="12"/>
  <c r="M245" i="12" s="1"/>
  <c r="G245" i="12"/>
  <c r="E245" i="12"/>
  <c r="L244" i="12"/>
  <c r="M244" i="12" s="1"/>
  <c r="G244" i="12"/>
  <c r="J243" i="12"/>
  <c r="J240" i="12" s="1"/>
  <c r="L243" i="12"/>
  <c r="L242" i="12"/>
  <c r="L241" i="12"/>
  <c r="C241" i="12"/>
  <c r="H241" i="12" s="1"/>
  <c r="AF240" i="12"/>
  <c r="AE240" i="12"/>
  <c r="AD240" i="12"/>
  <c r="AC240" i="12"/>
  <c r="AB240" i="12"/>
  <c r="AA240" i="12"/>
  <c r="Z240" i="12"/>
  <c r="Y240" i="12"/>
  <c r="X240" i="12"/>
  <c r="F240" i="12"/>
  <c r="D240" i="12"/>
  <c r="J239" i="12"/>
  <c r="L239" i="12"/>
  <c r="C239" i="12"/>
  <c r="H239" i="12" s="1"/>
  <c r="J237" i="12"/>
  <c r="L237" i="12"/>
  <c r="F237" i="12" s="1"/>
  <c r="E237" i="12"/>
  <c r="E236" i="12" s="1"/>
  <c r="AF236" i="12"/>
  <c r="AE236" i="12"/>
  <c r="AD236" i="12"/>
  <c r="AC236" i="12"/>
  <c r="AB236" i="12"/>
  <c r="AA236" i="12"/>
  <c r="Z236" i="12"/>
  <c r="Y236" i="12"/>
  <c r="X236" i="12"/>
  <c r="L235" i="12"/>
  <c r="H235" i="12"/>
  <c r="L233" i="12"/>
  <c r="M233" i="12" s="1"/>
  <c r="E233" i="12"/>
  <c r="J232" i="12"/>
  <c r="L232" i="12"/>
  <c r="F232" i="12" s="1"/>
  <c r="G232" i="12" s="1"/>
  <c r="E232" i="12"/>
  <c r="J231" i="12"/>
  <c r="L231" i="12"/>
  <c r="F231" i="12" s="1"/>
  <c r="G231" i="12" s="1"/>
  <c r="E231" i="12"/>
  <c r="L230" i="12"/>
  <c r="L229" i="12"/>
  <c r="C229" i="12"/>
  <c r="H229" i="12" s="1"/>
  <c r="L228" i="12"/>
  <c r="C228" i="12"/>
  <c r="AF227" i="12"/>
  <c r="AE227" i="12"/>
  <c r="AD227" i="12"/>
  <c r="AC227" i="12"/>
  <c r="AB227" i="12"/>
  <c r="AA227" i="12"/>
  <c r="Z227" i="12"/>
  <c r="Y227" i="12"/>
  <c r="X227" i="12"/>
  <c r="L226" i="12"/>
  <c r="H226" i="12"/>
  <c r="E226" i="12"/>
  <c r="L224" i="12"/>
  <c r="F224" i="12" s="1"/>
  <c r="G224" i="12" s="1"/>
  <c r="E224" i="12"/>
  <c r="L223" i="12"/>
  <c r="F223" i="12" s="1"/>
  <c r="G223" i="12" s="1"/>
  <c r="E223" i="12"/>
  <c r="V222" i="12"/>
  <c r="L222" i="12"/>
  <c r="F222" i="12" s="1"/>
  <c r="AE221" i="12"/>
  <c r="J220" i="12"/>
  <c r="L220" i="12"/>
  <c r="F220" i="12" s="1"/>
  <c r="G220" i="12" s="1"/>
  <c r="J219" i="12"/>
  <c r="L219" i="12"/>
  <c r="F219" i="12" s="1"/>
  <c r="G219" i="12" s="1"/>
  <c r="J218" i="12"/>
  <c r="L218" i="12"/>
  <c r="F218" i="12" s="1"/>
  <c r="G218" i="12" s="1"/>
  <c r="L217" i="12"/>
  <c r="F217" i="12" s="1"/>
  <c r="C217" i="12"/>
  <c r="L216" i="12"/>
  <c r="F216" i="12" s="1"/>
  <c r="C216" i="12"/>
  <c r="L215" i="12"/>
  <c r="F215" i="12" s="1"/>
  <c r="J214" i="12"/>
  <c r="L214" i="12"/>
  <c r="F214" i="12" s="1"/>
  <c r="G214" i="12" s="1"/>
  <c r="L213" i="12"/>
  <c r="F213" i="12" s="1"/>
  <c r="G213" i="12" s="1"/>
  <c r="E213" i="12"/>
  <c r="AF212" i="12"/>
  <c r="AD212" i="12"/>
  <c r="AC212" i="12"/>
  <c r="AB212" i="12"/>
  <c r="AA212" i="12"/>
  <c r="Z212" i="12"/>
  <c r="Y212" i="12"/>
  <c r="X212" i="12"/>
  <c r="D212" i="12"/>
  <c r="C211" i="12"/>
  <c r="H211" i="12" s="1"/>
  <c r="L208" i="12"/>
  <c r="F208" i="12" s="1"/>
  <c r="G208" i="12" s="1"/>
  <c r="L207" i="12"/>
  <c r="F207" i="12" s="1"/>
  <c r="G207" i="12" s="1"/>
  <c r="L206" i="12"/>
  <c r="F206" i="12" s="1"/>
  <c r="L205" i="12"/>
  <c r="F205" i="12" s="1"/>
  <c r="G205" i="12" s="1"/>
  <c r="C205" i="12"/>
  <c r="H204" i="12"/>
  <c r="H203" i="12"/>
  <c r="L202" i="12"/>
  <c r="F202" i="12" s="1"/>
  <c r="G202" i="12" s="1"/>
  <c r="L201" i="12"/>
  <c r="F201" i="12" s="1"/>
  <c r="G201" i="12" s="1"/>
  <c r="L200" i="12"/>
  <c r="F200" i="12" s="1"/>
  <c r="G200" i="12" s="1"/>
  <c r="L199" i="12"/>
  <c r="H199" i="12"/>
  <c r="L198" i="12"/>
  <c r="J197" i="12"/>
  <c r="J196" i="12" s="1"/>
  <c r="L197" i="12"/>
  <c r="C197" i="12"/>
  <c r="H197" i="12" s="1"/>
  <c r="AF196" i="12"/>
  <c r="AE196" i="12"/>
  <c r="AD196" i="12"/>
  <c r="AC196" i="12"/>
  <c r="AB196" i="12"/>
  <c r="AA196" i="12"/>
  <c r="Z196" i="12"/>
  <c r="Y196" i="12"/>
  <c r="X196" i="12"/>
  <c r="E196" i="12"/>
  <c r="L194" i="12"/>
  <c r="F194" i="12" s="1"/>
  <c r="J194" i="12"/>
  <c r="AF193" i="12"/>
  <c r="AE193" i="12"/>
  <c r="AD193" i="12"/>
  <c r="AC193" i="12"/>
  <c r="AB193" i="12"/>
  <c r="AA193" i="12"/>
  <c r="Z193" i="12"/>
  <c r="Y193" i="12"/>
  <c r="X193" i="12"/>
  <c r="W193" i="12"/>
  <c r="V193" i="12"/>
  <c r="U193" i="12"/>
  <c r="T193" i="12"/>
  <c r="S193" i="12"/>
  <c r="R193" i="12"/>
  <c r="Q193" i="12"/>
  <c r="P193" i="12"/>
  <c r="O193" i="12"/>
  <c r="O178" i="12" s="1"/>
  <c r="E193" i="12"/>
  <c r="C193" i="12"/>
  <c r="D192" i="12"/>
  <c r="L192" i="12"/>
  <c r="F192" i="12" s="1"/>
  <c r="H192" i="12" s="1"/>
  <c r="P191" i="12"/>
  <c r="J191" i="12" s="1"/>
  <c r="L191" i="12"/>
  <c r="F191" i="12" s="1"/>
  <c r="H191" i="12" s="1"/>
  <c r="D191" i="12"/>
  <c r="J190" i="12"/>
  <c r="L190" i="12"/>
  <c r="F190" i="12" s="1"/>
  <c r="J189" i="12"/>
  <c r="L189" i="12"/>
  <c r="F189" i="12" s="1"/>
  <c r="AF188" i="12"/>
  <c r="AE188" i="12"/>
  <c r="AD188" i="12"/>
  <c r="AC188" i="12"/>
  <c r="AB188" i="12"/>
  <c r="AA188" i="12"/>
  <c r="Z188" i="12"/>
  <c r="Y188" i="12"/>
  <c r="X188" i="12"/>
  <c r="W188" i="12"/>
  <c r="V188" i="12"/>
  <c r="U188" i="12"/>
  <c r="T188" i="12"/>
  <c r="S188" i="12"/>
  <c r="R188" i="12"/>
  <c r="Q188" i="12"/>
  <c r="E188" i="12"/>
  <c r="C188" i="12"/>
  <c r="P187" i="12"/>
  <c r="P183" i="12" s="1"/>
  <c r="L187" i="12"/>
  <c r="F187" i="12" s="1"/>
  <c r="J186" i="12"/>
  <c r="L186" i="12"/>
  <c r="F186" i="12" s="1"/>
  <c r="G186" i="12" s="1"/>
  <c r="J185" i="12"/>
  <c r="L185" i="12"/>
  <c r="H185" i="12"/>
  <c r="G185" i="12"/>
  <c r="Y184" i="12"/>
  <c r="L184" i="12" s="1"/>
  <c r="Q184" i="12"/>
  <c r="Q183" i="12" s="1"/>
  <c r="H184" i="12"/>
  <c r="G184" i="12"/>
  <c r="AF183" i="12"/>
  <c r="AE183" i="12"/>
  <c r="AD183" i="12"/>
  <c r="AC183" i="12"/>
  <c r="AB183" i="12"/>
  <c r="AA183" i="12"/>
  <c r="Z183" i="12"/>
  <c r="X183" i="12"/>
  <c r="W183" i="12"/>
  <c r="V183" i="12"/>
  <c r="U183" i="12"/>
  <c r="T183" i="12"/>
  <c r="S183" i="12"/>
  <c r="R183" i="12"/>
  <c r="E183" i="12"/>
  <c r="D183" i="12"/>
  <c r="C183" i="12"/>
  <c r="D182" i="12"/>
  <c r="D180" i="12" s="1"/>
  <c r="L182" i="12"/>
  <c r="F182" i="12" s="1"/>
  <c r="E182" i="12"/>
  <c r="E180" i="12" s="1"/>
  <c r="C182" i="12"/>
  <c r="C180" i="12" s="1"/>
  <c r="Y181" i="12"/>
  <c r="L181" i="12" s="1"/>
  <c r="F181" i="12" s="1"/>
  <c r="J181" i="12"/>
  <c r="J180" i="12" s="1"/>
  <c r="AF180" i="12"/>
  <c r="AE180" i="12"/>
  <c r="AD180" i="12"/>
  <c r="AC180" i="12"/>
  <c r="AB180" i="12"/>
  <c r="AA180" i="12"/>
  <c r="Z180" i="12"/>
  <c r="X180" i="12"/>
  <c r="W180" i="12"/>
  <c r="V180" i="12"/>
  <c r="U180" i="12"/>
  <c r="T180" i="12"/>
  <c r="S180" i="12"/>
  <c r="R180" i="12"/>
  <c r="Q180" i="12"/>
  <c r="P180" i="12"/>
  <c r="O179" i="12"/>
  <c r="L179" i="12"/>
  <c r="O177" i="12"/>
  <c r="J177" i="12" s="1"/>
  <c r="L177" i="12"/>
  <c r="F177" i="12" s="1"/>
  <c r="O176" i="12"/>
  <c r="J176" i="12" s="1"/>
  <c r="L176" i="12"/>
  <c r="F176" i="12" s="1"/>
  <c r="H176" i="12" s="1"/>
  <c r="O175" i="12"/>
  <c r="J175" i="12" s="1"/>
  <c r="D175" i="12" s="1"/>
  <c r="L175" i="12"/>
  <c r="F175" i="12" s="1"/>
  <c r="L174" i="12"/>
  <c r="F174" i="12" s="1"/>
  <c r="J174" i="12"/>
  <c r="AF173" i="12"/>
  <c r="AE173" i="12"/>
  <c r="AD173" i="12"/>
  <c r="AC173" i="12"/>
  <c r="AB173" i="12"/>
  <c r="AA173" i="12"/>
  <c r="Z173" i="12"/>
  <c r="Y173" i="12"/>
  <c r="X173" i="12"/>
  <c r="W173" i="12"/>
  <c r="V173" i="12"/>
  <c r="U173" i="12"/>
  <c r="T173" i="12"/>
  <c r="S173" i="12"/>
  <c r="R173" i="12"/>
  <c r="Q173" i="12"/>
  <c r="P173" i="12"/>
  <c r="E173" i="12"/>
  <c r="C173" i="12"/>
  <c r="O172" i="12"/>
  <c r="J172" i="12" s="1"/>
  <c r="L172" i="12"/>
  <c r="F172" i="12" s="1"/>
  <c r="H172" i="12" s="1"/>
  <c r="O171" i="12"/>
  <c r="J171" i="12" s="1"/>
  <c r="L171" i="12"/>
  <c r="F171" i="12" s="1"/>
  <c r="O170" i="12"/>
  <c r="J170" i="12" s="1"/>
  <c r="L170" i="12"/>
  <c r="F170" i="12" s="1"/>
  <c r="L169" i="12"/>
  <c r="F169" i="12" s="1"/>
  <c r="C169" i="12"/>
  <c r="C168" i="12" s="1"/>
  <c r="AF168" i="12"/>
  <c r="AE168" i="12"/>
  <c r="AD168" i="12"/>
  <c r="AC168" i="12"/>
  <c r="AB168" i="12"/>
  <c r="AA168" i="12"/>
  <c r="Z168" i="12"/>
  <c r="Y168" i="12"/>
  <c r="X168" i="12"/>
  <c r="W168" i="12"/>
  <c r="V168" i="12"/>
  <c r="U168" i="12"/>
  <c r="T168" i="12"/>
  <c r="S168" i="12"/>
  <c r="R168" i="12"/>
  <c r="Q168" i="12"/>
  <c r="P168" i="12"/>
  <c r="E168" i="12"/>
  <c r="O167" i="12"/>
  <c r="J167" i="12" s="1"/>
  <c r="L167" i="12"/>
  <c r="F167" i="12" s="1"/>
  <c r="H167" i="12" s="1"/>
  <c r="J166" i="12"/>
  <c r="L166" i="12"/>
  <c r="F166" i="12" s="1"/>
  <c r="J165" i="12"/>
  <c r="L165" i="12"/>
  <c r="F165" i="12" s="1"/>
  <c r="O164" i="12"/>
  <c r="J164" i="12" s="1"/>
  <c r="L164" i="12"/>
  <c r="F164" i="12" s="1"/>
  <c r="O163" i="12"/>
  <c r="J163" i="12" s="1"/>
  <c r="L163" i="12"/>
  <c r="F163" i="12" s="1"/>
  <c r="O162" i="12"/>
  <c r="J162" i="12" s="1"/>
  <c r="L162" i="12"/>
  <c r="F162" i="12" s="1"/>
  <c r="O161" i="12"/>
  <c r="J161" i="12" s="1"/>
  <c r="L161" i="12"/>
  <c r="F161" i="12" s="1"/>
  <c r="O160" i="12"/>
  <c r="J160" i="12" s="1"/>
  <c r="D160" i="12" s="1"/>
  <c r="L160" i="12"/>
  <c r="F160" i="12" s="1"/>
  <c r="O159" i="12"/>
  <c r="J159" i="12" s="1"/>
  <c r="L159" i="12"/>
  <c r="F159" i="12" s="1"/>
  <c r="H159" i="12" s="1"/>
  <c r="O158" i="12"/>
  <c r="J158" i="12" s="1"/>
  <c r="L158" i="12"/>
  <c r="F158" i="12" s="1"/>
  <c r="H158" i="12" s="1"/>
  <c r="O157" i="12"/>
  <c r="J157" i="12" s="1"/>
  <c r="L157" i="12"/>
  <c r="F157" i="12" s="1"/>
  <c r="L156" i="12"/>
  <c r="F156" i="12" s="1"/>
  <c r="H156" i="12" s="1"/>
  <c r="AF155" i="12"/>
  <c r="AE155" i="12"/>
  <c r="AD155" i="12"/>
  <c r="AC155" i="12"/>
  <c r="AB155" i="12"/>
  <c r="AA155" i="12"/>
  <c r="Z155" i="12"/>
  <c r="Y155" i="12"/>
  <c r="X155" i="12"/>
  <c r="W155" i="12"/>
  <c r="V155" i="12"/>
  <c r="U155" i="12"/>
  <c r="T155" i="12"/>
  <c r="S155" i="12"/>
  <c r="R155" i="12"/>
  <c r="Q155" i="12"/>
  <c r="P155" i="12"/>
  <c r="E155" i="12"/>
  <c r="C155" i="12"/>
  <c r="D154" i="12"/>
  <c r="L154" i="12"/>
  <c r="F154" i="12" s="1"/>
  <c r="J153" i="12"/>
  <c r="L153" i="12"/>
  <c r="F153" i="12" s="1"/>
  <c r="H153" i="12" s="1"/>
  <c r="D152" i="12"/>
  <c r="L152" i="12"/>
  <c r="F152" i="12" s="1"/>
  <c r="AF151" i="12"/>
  <c r="AE151" i="12"/>
  <c r="AD151" i="12"/>
  <c r="AC151" i="12"/>
  <c r="AB151" i="12"/>
  <c r="AA151" i="12"/>
  <c r="Z151" i="12"/>
  <c r="Y151" i="12"/>
  <c r="X151" i="12"/>
  <c r="W151" i="12"/>
  <c r="V151" i="12"/>
  <c r="U151" i="12"/>
  <c r="T151" i="12"/>
  <c r="S151" i="12"/>
  <c r="R151" i="12"/>
  <c r="Q151" i="12"/>
  <c r="P151" i="12"/>
  <c r="E151" i="12"/>
  <c r="C151" i="12"/>
  <c r="L150" i="12"/>
  <c r="F150" i="12" s="1"/>
  <c r="D149" i="12"/>
  <c r="L149" i="12"/>
  <c r="F149" i="12" s="1"/>
  <c r="D148" i="12"/>
  <c r="L148" i="12"/>
  <c r="F148" i="12" s="1"/>
  <c r="AF147" i="12"/>
  <c r="AE147" i="12"/>
  <c r="AD147" i="12"/>
  <c r="AC147" i="12"/>
  <c r="AB147" i="12"/>
  <c r="AA147" i="12"/>
  <c r="Z147" i="12"/>
  <c r="Y147" i="12"/>
  <c r="X147" i="12"/>
  <c r="W147" i="12"/>
  <c r="V147" i="12"/>
  <c r="U147" i="12"/>
  <c r="T147" i="12"/>
  <c r="S147" i="12"/>
  <c r="R147" i="12"/>
  <c r="Q147" i="12"/>
  <c r="P147" i="12"/>
  <c r="E147" i="12"/>
  <c r="C147" i="12"/>
  <c r="D146" i="12"/>
  <c r="L146" i="12"/>
  <c r="F146" i="12" s="1"/>
  <c r="J145" i="12"/>
  <c r="D145" i="12" s="1"/>
  <c r="L145" i="12"/>
  <c r="F145" i="12" s="1"/>
  <c r="H145" i="12" s="1"/>
  <c r="V144" i="12"/>
  <c r="V143" i="12" s="1"/>
  <c r="O144" i="12"/>
  <c r="L144" i="12"/>
  <c r="F144" i="12" s="1"/>
  <c r="AF143" i="12"/>
  <c r="AE143" i="12"/>
  <c r="AD143" i="12"/>
  <c r="AC143" i="12"/>
  <c r="AB143" i="12"/>
  <c r="AA143" i="12"/>
  <c r="Z143" i="12"/>
  <c r="Y143" i="12"/>
  <c r="X143" i="12"/>
  <c r="W143" i="12"/>
  <c r="U143" i="12"/>
  <c r="T143" i="12"/>
  <c r="S143" i="12"/>
  <c r="R143" i="12"/>
  <c r="Q143" i="12"/>
  <c r="P143" i="12"/>
  <c r="E143" i="12"/>
  <c r="C143" i="12"/>
  <c r="O142" i="12"/>
  <c r="J142" i="12" s="1"/>
  <c r="D142" i="12" s="1"/>
  <c r="L142" i="12"/>
  <c r="F142" i="12" s="1"/>
  <c r="L141" i="12"/>
  <c r="F141" i="12" s="1"/>
  <c r="J141" i="12"/>
  <c r="V140" i="12"/>
  <c r="V139" i="12" s="1"/>
  <c r="O140" i="12"/>
  <c r="L140" i="12"/>
  <c r="F140" i="12" s="1"/>
  <c r="AF139" i="12"/>
  <c r="AE139" i="12"/>
  <c r="AD139" i="12"/>
  <c r="AC139" i="12"/>
  <c r="AB139" i="12"/>
  <c r="AA139" i="12"/>
  <c r="Z139" i="12"/>
  <c r="Y139" i="12"/>
  <c r="X139" i="12"/>
  <c r="W139" i="12"/>
  <c r="U139" i="12"/>
  <c r="T139" i="12"/>
  <c r="S139" i="12"/>
  <c r="R139" i="12"/>
  <c r="Q139" i="12"/>
  <c r="P139" i="12"/>
  <c r="E139" i="12"/>
  <c r="C139" i="12"/>
  <c r="D138" i="12"/>
  <c r="L138" i="12"/>
  <c r="F138" i="12" s="1"/>
  <c r="O137" i="12"/>
  <c r="J137" i="12" s="1"/>
  <c r="L137" i="12"/>
  <c r="F137" i="12" s="1"/>
  <c r="H137" i="12" s="1"/>
  <c r="O136" i="12"/>
  <c r="J136" i="12" s="1"/>
  <c r="L136" i="12"/>
  <c r="F136" i="12" s="1"/>
  <c r="AF135" i="12"/>
  <c r="AE135" i="12"/>
  <c r="AD135" i="12"/>
  <c r="AC135" i="12"/>
  <c r="AB135" i="12"/>
  <c r="AA135" i="12"/>
  <c r="Z135" i="12"/>
  <c r="Y135" i="12"/>
  <c r="X135" i="12"/>
  <c r="W135" i="12"/>
  <c r="V135" i="12"/>
  <c r="U135" i="12"/>
  <c r="T135" i="12"/>
  <c r="S135" i="12"/>
  <c r="R135" i="12"/>
  <c r="Q135" i="12"/>
  <c r="P135" i="12"/>
  <c r="E135" i="12"/>
  <c r="C135" i="12"/>
  <c r="D134" i="12"/>
  <c r="L134" i="12"/>
  <c r="F134" i="12" s="1"/>
  <c r="L133" i="12"/>
  <c r="F133" i="12" s="1"/>
  <c r="J133" i="12"/>
  <c r="D133" i="12" s="1"/>
  <c r="O132" i="12"/>
  <c r="J132" i="12" s="1"/>
  <c r="L132" i="12"/>
  <c r="F132" i="12" s="1"/>
  <c r="AF131" i="12"/>
  <c r="AE131" i="12"/>
  <c r="AD131" i="12"/>
  <c r="AC131" i="12"/>
  <c r="AB131" i="12"/>
  <c r="AA131" i="12"/>
  <c r="Z131" i="12"/>
  <c r="Y131" i="12"/>
  <c r="X131" i="12"/>
  <c r="W131" i="12"/>
  <c r="V131" i="12"/>
  <c r="U131" i="12"/>
  <c r="T131" i="12"/>
  <c r="S131" i="12"/>
  <c r="R131" i="12"/>
  <c r="Q131" i="12"/>
  <c r="P131" i="12"/>
  <c r="E131" i="12"/>
  <c r="C131" i="12"/>
  <c r="X130" i="12"/>
  <c r="O129" i="12"/>
  <c r="J129" i="12" s="1"/>
  <c r="D129" i="12" s="1"/>
  <c r="L129" i="12"/>
  <c r="F129" i="12" s="1"/>
  <c r="H129" i="12" s="1"/>
  <c r="D128" i="12"/>
  <c r="L128" i="12"/>
  <c r="F128" i="12" s="1"/>
  <c r="O127" i="12"/>
  <c r="J127" i="12" s="1"/>
  <c r="L127" i="12"/>
  <c r="F127" i="12" s="1"/>
  <c r="H127" i="12" s="1"/>
  <c r="D126" i="12"/>
  <c r="L126" i="12"/>
  <c r="F126" i="12" s="1"/>
  <c r="AF125" i="12"/>
  <c r="AE125" i="12"/>
  <c r="AD125" i="12"/>
  <c r="AC125" i="12"/>
  <c r="AB125" i="12"/>
  <c r="AA125" i="12"/>
  <c r="Z125" i="12"/>
  <c r="Y125" i="12"/>
  <c r="W125" i="12"/>
  <c r="V125" i="12"/>
  <c r="U125" i="12"/>
  <c r="T125" i="12"/>
  <c r="S125" i="12"/>
  <c r="R125" i="12"/>
  <c r="Q125" i="12"/>
  <c r="P125" i="12"/>
  <c r="E125" i="12"/>
  <c r="C125" i="12"/>
  <c r="J124" i="12"/>
  <c r="L124" i="12"/>
  <c r="F124" i="12" s="1"/>
  <c r="O123" i="12"/>
  <c r="J123" i="12" s="1"/>
  <c r="L123" i="12"/>
  <c r="F123" i="12" s="1"/>
  <c r="H123" i="12" s="1"/>
  <c r="O122" i="12"/>
  <c r="J122" i="12" s="1"/>
  <c r="L122" i="12"/>
  <c r="F122" i="12" s="1"/>
  <c r="H122" i="12" s="1"/>
  <c r="J121" i="12"/>
  <c r="D121" i="12" s="1"/>
  <c r="L121" i="12"/>
  <c r="F121" i="12" s="1"/>
  <c r="H121" i="12" s="1"/>
  <c r="D120" i="12"/>
  <c r="L120" i="12"/>
  <c r="F120" i="12" s="1"/>
  <c r="AA119" i="12"/>
  <c r="L119" i="12" s="1"/>
  <c r="O119" i="12"/>
  <c r="H119" i="12"/>
  <c r="AF118" i="12"/>
  <c r="AE118" i="12"/>
  <c r="AD118" i="12"/>
  <c r="AC118" i="12"/>
  <c r="AB118" i="12"/>
  <c r="Z118" i="12"/>
  <c r="Y118" i="12"/>
  <c r="X118" i="12"/>
  <c r="W118" i="12"/>
  <c r="V118" i="12"/>
  <c r="U118" i="12"/>
  <c r="T118" i="12"/>
  <c r="S118" i="12"/>
  <c r="Q118" i="12"/>
  <c r="P118" i="12"/>
  <c r="E118" i="12"/>
  <c r="C118" i="12"/>
  <c r="O117" i="12"/>
  <c r="J117" i="12" s="1"/>
  <c r="L117" i="12"/>
  <c r="F117" i="12" s="1"/>
  <c r="H117" i="12" s="1"/>
  <c r="L116" i="12"/>
  <c r="F116" i="12" s="1"/>
  <c r="H116" i="12" s="1"/>
  <c r="J116" i="12"/>
  <c r="D116" i="12" s="1"/>
  <c r="O115" i="12"/>
  <c r="J115" i="12" s="1"/>
  <c r="D115" i="12" s="1"/>
  <c r="L115" i="12"/>
  <c r="F115" i="12" s="1"/>
  <c r="H115" i="12" s="1"/>
  <c r="V114" i="12"/>
  <c r="V111" i="12" s="1"/>
  <c r="L114" i="12"/>
  <c r="F114" i="12" s="1"/>
  <c r="L113" i="12"/>
  <c r="F113" i="12" s="1"/>
  <c r="H113" i="12" s="1"/>
  <c r="J113" i="12"/>
  <c r="AA112" i="12"/>
  <c r="X112" i="12"/>
  <c r="X111" i="12" s="1"/>
  <c r="H112" i="12"/>
  <c r="AF111" i="12"/>
  <c r="AE111" i="12"/>
  <c r="AD111" i="12"/>
  <c r="AC111" i="12"/>
  <c r="AB111" i="12"/>
  <c r="Z111" i="12"/>
  <c r="Y111" i="12"/>
  <c r="W111" i="12"/>
  <c r="U111" i="12"/>
  <c r="T111" i="12"/>
  <c r="S111" i="12"/>
  <c r="Q111" i="12"/>
  <c r="P111" i="12"/>
  <c r="E111" i="12"/>
  <c r="C111" i="12"/>
  <c r="O105" i="12"/>
  <c r="J105" i="12" s="1"/>
  <c r="D105" i="12" s="1"/>
  <c r="L105" i="12"/>
  <c r="F105" i="12" s="1"/>
  <c r="F103" i="12" s="1"/>
  <c r="L104" i="12"/>
  <c r="AF103" i="12"/>
  <c r="AE103" i="12"/>
  <c r="AD103" i="12"/>
  <c r="AC103" i="12"/>
  <c r="AB103" i="12"/>
  <c r="AA103" i="12"/>
  <c r="Z103" i="12"/>
  <c r="Y103" i="12"/>
  <c r="X103" i="12"/>
  <c r="W103" i="12"/>
  <c r="V103" i="12"/>
  <c r="U103" i="12"/>
  <c r="T103" i="12"/>
  <c r="S103" i="12"/>
  <c r="R103" i="12"/>
  <c r="Q103" i="12"/>
  <c r="P103" i="12"/>
  <c r="E103" i="12"/>
  <c r="C103" i="12"/>
  <c r="J102" i="12"/>
  <c r="L102" i="12"/>
  <c r="F102" i="12" s="1"/>
  <c r="O101" i="12"/>
  <c r="O100" i="12" s="1"/>
  <c r="L101" i="12"/>
  <c r="F101" i="12" s="1"/>
  <c r="AF100" i="12"/>
  <c r="AE100" i="12"/>
  <c r="AD100" i="12"/>
  <c r="AC100" i="12"/>
  <c r="AB100" i="12"/>
  <c r="AA100" i="12"/>
  <c r="Z100" i="12"/>
  <c r="Y100" i="12"/>
  <c r="X100" i="12"/>
  <c r="E100" i="12"/>
  <c r="C100" i="12"/>
  <c r="D99" i="12"/>
  <c r="F99" i="12"/>
  <c r="J94" i="12"/>
  <c r="D94" i="12" s="1"/>
  <c r="J93" i="12"/>
  <c r="D93" i="12" s="1"/>
  <c r="P91" i="12"/>
  <c r="P83" i="12" s="1"/>
  <c r="J90" i="12"/>
  <c r="D90" i="12" s="1"/>
  <c r="W89" i="12"/>
  <c r="L88" i="12"/>
  <c r="F88" i="12" s="1"/>
  <c r="L87" i="12"/>
  <c r="J86" i="12"/>
  <c r="D86" i="12" s="1"/>
  <c r="L86" i="12"/>
  <c r="W85" i="12"/>
  <c r="V85" i="12"/>
  <c r="V83" i="12" s="1"/>
  <c r="O85" i="12"/>
  <c r="L85" i="12"/>
  <c r="F85" i="12" s="1"/>
  <c r="L84" i="12"/>
  <c r="C84" i="12"/>
  <c r="H84" i="12" s="1"/>
  <c r="AF83" i="12"/>
  <c r="AE83" i="12"/>
  <c r="AD83" i="12"/>
  <c r="AC83" i="12"/>
  <c r="AB83" i="12"/>
  <c r="AA83" i="12"/>
  <c r="Z83" i="12"/>
  <c r="Y83" i="12"/>
  <c r="X83" i="12"/>
  <c r="U83" i="12"/>
  <c r="T83" i="12"/>
  <c r="S83" i="12"/>
  <c r="R83" i="12"/>
  <c r="Q83" i="12"/>
  <c r="O82" i="12"/>
  <c r="J82" i="12" s="1"/>
  <c r="D82" i="12" s="1"/>
  <c r="L82" i="12"/>
  <c r="O81" i="12"/>
  <c r="J81" i="12" s="1"/>
  <c r="L81" i="12"/>
  <c r="F81" i="12" s="1"/>
  <c r="H81" i="12" s="1"/>
  <c r="T80" i="12"/>
  <c r="T79" i="12" s="1"/>
  <c r="O80" i="12"/>
  <c r="L80" i="12"/>
  <c r="AF79" i="12"/>
  <c r="AE79" i="12"/>
  <c r="AD79" i="12"/>
  <c r="AC79" i="12"/>
  <c r="AB79" i="12"/>
  <c r="AA79" i="12"/>
  <c r="Z79" i="12"/>
  <c r="Y79" i="12"/>
  <c r="X79" i="12"/>
  <c r="W79" i="12"/>
  <c r="V79" i="12"/>
  <c r="U79" i="12"/>
  <c r="S79" i="12"/>
  <c r="R79" i="12"/>
  <c r="Q79" i="12"/>
  <c r="P79" i="12"/>
  <c r="E79" i="12"/>
  <c r="C79" i="12"/>
  <c r="L78" i="12"/>
  <c r="D77" i="12"/>
  <c r="D76" i="12" s="1"/>
  <c r="L77" i="12"/>
  <c r="F77" i="12" s="1"/>
  <c r="F76" i="12" s="1"/>
  <c r="AF76" i="12"/>
  <c r="AE76" i="12"/>
  <c r="AD76" i="12"/>
  <c r="AC76" i="12"/>
  <c r="AB76" i="12"/>
  <c r="AA76" i="12"/>
  <c r="Z76" i="12"/>
  <c r="Y76" i="12"/>
  <c r="X76" i="12"/>
  <c r="W76" i="12"/>
  <c r="V76" i="12"/>
  <c r="U76" i="12"/>
  <c r="T76" i="12"/>
  <c r="S76" i="12"/>
  <c r="R76" i="12"/>
  <c r="Q76" i="12"/>
  <c r="P76" i="12"/>
  <c r="E76" i="12"/>
  <c r="C76" i="12"/>
  <c r="L75" i="12"/>
  <c r="F75" i="12" s="1"/>
  <c r="H75" i="12" s="1"/>
  <c r="J74" i="12"/>
  <c r="L74" i="12"/>
  <c r="F74" i="12" s="1"/>
  <c r="H74" i="12" s="1"/>
  <c r="J73" i="12"/>
  <c r="L73" i="12"/>
  <c r="F73" i="12" s="1"/>
  <c r="H73" i="12" s="1"/>
  <c r="J72" i="12"/>
  <c r="L72" i="12"/>
  <c r="F72" i="12" s="1"/>
  <c r="H72" i="12" s="1"/>
  <c r="L71" i="12"/>
  <c r="F71" i="12" s="1"/>
  <c r="H71" i="12" s="1"/>
  <c r="AF70" i="12"/>
  <c r="AE70" i="12"/>
  <c r="AD70" i="12"/>
  <c r="AC70" i="12"/>
  <c r="AB70" i="12"/>
  <c r="AA70" i="12"/>
  <c r="Z70" i="12"/>
  <c r="Y70" i="12"/>
  <c r="X70" i="12"/>
  <c r="E70" i="12"/>
  <c r="C70" i="12"/>
  <c r="J69" i="12"/>
  <c r="L69" i="12"/>
  <c r="F69" i="12" s="1"/>
  <c r="H69" i="12" s="1"/>
  <c r="J68" i="12"/>
  <c r="L68" i="12"/>
  <c r="J67" i="12"/>
  <c r="L67" i="12"/>
  <c r="F67" i="12" s="1"/>
  <c r="H67" i="12" s="1"/>
  <c r="J66" i="12"/>
  <c r="L66" i="12"/>
  <c r="F66" i="12" s="1"/>
  <c r="H66" i="12" s="1"/>
  <c r="J65" i="12"/>
  <c r="L65" i="12"/>
  <c r="F65" i="12" s="1"/>
  <c r="L64" i="12"/>
  <c r="F64" i="12" s="1"/>
  <c r="AF63" i="12"/>
  <c r="AE63" i="12"/>
  <c r="AD63" i="12"/>
  <c r="AC63" i="12"/>
  <c r="AB63" i="12"/>
  <c r="AA63" i="12"/>
  <c r="Z63" i="12"/>
  <c r="Y63" i="12"/>
  <c r="X63" i="12"/>
  <c r="E63" i="12"/>
  <c r="C63" i="12"/>
  <c r="O59" i="12"/>
  <c r="L62" i="12"/>
  <c r="F62" i="12" s="1"/>
  <c r="L61" i="12"/>
  <c r="F61" i="12" s="1"/>
  <c r="C61" i="12"/>
  <c r="L60" i="12"/>
  <c r="F60" i="12" s="1"/>
  <c r="D60" i="12"/>
  <c r="AF59" i="12"/>
  <c r="AE59" i="12"/>
  <c r="AD59" i="12"/>
  <c r="AC59" i="12"/>
  <c r="AB59" i="12"/>
  <c r="AA59" i="12"/>
  <c r="Z59" i="12"/>
  <c r="Y59" i="12"/>
  <c r="X59" i="12"/>
  <c r="W59" i="12"/>
  <c r="V59" i="12"/>
  <c r="U59" i="12"/>
  <c r="T59" i="12"/>
  <c r="S59" i="12"/>
  <c r="R59" i="12"/>
  <c r="Q59" i="12"/>
  <c r="P59" i="12"/>
  <c r="E59" i="12"/>
  <c r="L58" i="12"/>
  <c r="F58" i="12" s="1"/>
  <c r="O57" i="12"/>
  <c r="J57" i="12" s="1"/>
  <c r="L57" i="12"/>
  <c r="F57" i="12" s="1"/>
  <c r="H57" i="12" s="1"/>
  <c r="O56" i="12"/>
  <c r="L56" i="12"/>
  <c r="F56" i="12" s="1"/>
  <c r="C56" i="12"/>
  <c r="C54" i="12" s="1"/>
  <c r="O55" i="12"/>
  <c r="J55" i="12" s="1"/>
  <c r="L55" i="12"/>
  <c r="F55" i="12" s="1"/>
  <c r="H55" i="12" s="1"/>
  <c r="AF54" i="12"/>
  <c r="AE54" i="12"/>
  <c r="AD54" i="12"/>
  <c r="AC54" i="12"/>
  <c r="AB54" i="12"/>
  <c r="AA54" i="12"/>
  <c r="Z54" i="12"/>
  <c r="Y54" i="12"/>
  <c r="X54" i="12"/>
  <c r="E54" i="12"/>
  <c r="L53" i="12"/>
  <c r="F53" i="12" s="1"/>
  <c r="T52" i="12"/>
  <c r="O52" i="12"/>
  <c r="L52" i="12"/>
  <c r="H52" i="12"/>
  <c r="T51" i="12"/>
  <c r="O51" i="12"/>
  <c r="L51" i="12"/>
  <c r="F51" i="12" s="1"/>
  <c r="H51" i="12" s="1"/>
  <c r="T50" i="12"/>
  <c r="O50" i="12"/>
  <c r="L50" i="12"/>
  <c r="F50" i="12" s="1"/>
  <c r="H50" i="12" s="1"/>
  <c r="T49" i="12"/>
  <c r="O49" i="12"/>
  <c r="L49" i="12"/>
  <c r="F49" i="12" s="1"/>
  <c r="T48" i="12"/>
  <c r="L48" i="12"/>
  <c r="C48" i="12"/>
  <c r="H48" i="12" s="1"/>
  <c r="AF47" i="12"/>
  <c r="AE47" i="12"/>
  <c r="AD47" i="12"/>
  <c r="AC47" i="12"/>
  <c r="AB47" i="12"/>
  <c r="AA47" i="12"/>
  <c r="Z47" i="12"/>
  <c r="Y47" i="12"/>
  <c r="X47" i="12"/>
  <c r="W47" i="12"/>
  <c r="V47" i="12"/>
  <c r="U47" i="12"/>
  <c r="S47" i="12"/>
  <c r="R47" i="12"/>
  <c r="Q47" i="12"/>
  <c r="P47" i="12"/>
  <c r="E47" i="12"/>
  <c r="L46" i="12"/>
  <c r="F46" i="12" s="1"/>
  <c r="O45" i="12"/>
  <c r="J45" i="12" s="1"/>
  <c r="L45" i="12"/>
  <c r="F45" i="12" s="1"/>
  <c r="G45" i="12" s="1"/>
  <c r="O44" i="12"/>
  <c r="J44" i="12" s="1"/>
  <c r="L44" i="12"/>
  <c r="F44" i="12" s="1"/>
  <c r="H44" i="12" s="1"/>
  <c r="D43" i="12"/>
  <c r="L43" i="12"/>
  <c r="F43" i="12" s="1"/>
  <c r="AC42" i="12"/>
  <c r="T42" i="12" s="1"/>
  <c r="U42" i="12"/>
  <c r="H42" i="12"/>
  <c r="U41" i="12"/>
  <c r="Q41" i="12"/>
  <c r="Q40" i="12" s="1"/>
  <c r="L41" i="12"/>
  <c r="F41" i="12" s="1"/>
  <c r="G41" i="12" s="1"/>
  <c r="AF40" i="12"/>
  <c r="AE40" i="12"/>
  <c r="AD40" i="12"/>
  <c r="AB40" i="12"/>
  <c r="AA40" i="12"/>
  <c r="Z40" i="12"/>
  <c r="Y40" i="12"/>
  <c r="X40" i="12"/>
  <c r="W40" i="12"/>
  <c r="V40" i="12"/>
  <c r="S40" i="12"/>
  <c r="R40" i="12"/>
  <c r="P40" i="12"/>
  <c r="E40" i="12"/>
  <c r="C40" i="12"/>
  <c r="D39" i="12"/>
  <c r="L39" i="12"/>
  <c r="F39" i="12" s="1"/>
  <c r="H39" i="12" s="1"/>
  <c r="Q38" i="12"/>
  <c r="Q32" i="12" s="1"/>
  <c r="L38" i="12"/>
  <c r="F38" i="12" s="1"/>
  <c r="D37" i="12"/>
  <c r="L37" i="12"/>
  <c r="F37" i="12" s="1"/>
  <c r="C37" i="12"/>
  <c r="AL36" i="12"/>
  <c r="D36" i="12"/>
  <c r="L36" i="12"/>
  <c r="F36" i="12" s="1"/>
  <c r="J35" i="12"/>
  <c r="L35" i="12"/>
  <c r="F35" i="12" s="1"/>
  <c r="H35" i="12" s="1"/>
  <c r="J34" i="12"/>
  <c r="L34" i="12"/>
  <c r="F34" i="12" s="1"/>
  <c r="C34" i="12"/>
  <c r="L33" i="12"/>
  <c r="F33" i="12" s="1"/>
  <c r="H33" i="12" s="1"/>
  <c r="J33" i="12"/>
  <c r="AF32" i="12"/>
  <c r="AE32" i="12"/>
  <c r="AD32" i="12"/>
  <c r="AC32" i="12"/>
  <c r="AB32" i="12"/>
  <c r="AA32" i="12"/>
  <c r="Z32" i="12"/>
  <c r="Y32" i="12"/>
  <c r="X32" i="12"/>
  <c r="W32" i="12"/>
  <c r="V32" i="12"/>
  <c r="U32" i="12"/>
  <c r="T32" i="12"/>
  <c r="S32" i="12"/>
  <c r="R32" i="12"/>
  <c r="P32" i="12"/>
  <c r="E32" i="12"/>
  <c r="J30" i="12"/>
  <c r="D30" i="12" s="1"/>
  <c r="T24" i="12"/>
  <c r="L23" i="12"/>
  <c r="L22" i="12"/>
  <c r="F22" i="12" s="1"/>
  <c r="D22" i="12"/>
  <c r="J21" i="12"/>
  <c r="D21" i="12" s="1"/>
  <c r="F21" i="12"/>
  <c r="X21" i="12" s="1"/>
  <c r="X20" i="12"/>
  <c r="L20" i="12" s="1"/>
  <c r="J20" i="12"/>
  <c r="H20" i="12"/>
  <c r="AF19" i="12"/>
  <c r="AE19" i="12"/>
  <c r="AD19" i="12"/>
  <c r="AC19" i="12"/>
  <c r="AB19" i="12"/>
  <c r="AA19" i="12"/>
  <c r="Z19" i="12"/>
  <c r="Y19" i="12"/>
  <c r="W19" i="12"/>
  <c r="V19" i="12"/>
  <c r="U19" i="12"/>
  <c r="T19" i="12"/>
  <c r="S19" i="12"/>
  <c r="R19" i="12"/>
  <c r="Q19" i="12"/>
  <c r="P19" i="12"/>
  <c r="O19" i="12"/>
  <c r="E19" i="12"/>
  <c r="C19" i="12"/>
  <c r="O18" i="12"/>
  <c r="J18" i="12" s="1"/>
  <c r="L18" i="12"/>
  <c r="F18" i="12" s="1"/>
  <c r="C18" i="12"/>
  <c r="J17" i="12"/>
  <c r="D17" i="12" s="1"/>
  <c r="L17" i="12"/>
  <c r="F17" i="12" s="1"/>
  <c r="H17" i="12" s="1"/>
  <c r="O16" i="12"/>
  <c r="J16" i="12" s="1"/>
  <c r="D16" i="12" s="1"/>
  <c r="L16" i="12"/>
  <c r="F16" i="12" s="1"/>
  <c r="O15" i="12"/>
  <c r="J15" i="12" s="1"/>
  <c r="L15" i="12"/>
  <c r="F15" i="12" s="1"/>
  <c r="O14" i="12"/>
  <c r="J14" i="12" s="1"/>
  <c r="L14" i="12"/>
  <c r="F14" i="12" s="1"/>
  <c r="H14" i="12" s="1"/>
  <c r="J13" i="12"/>
  <c r="L13" i="12"/>
  <c r="F13" i="12" s="1"/>
  <c r="H13" i="12" s="1"/>
  <c r="O12" i="12"/>
  <c r="J12" i="12" s="1"/>
  <c r="L12" i="12"/>
  <c r="F12" i="12" s="1"/>
  <c r="H12" i="12" s="1"/>
  <c r="O11" i="12"/>
  <c r="J11" i="12" s="1"/>
  <c r="L11" i="12"/>
  <c r="F11" i="12" s="1"/>
  <c r="H11" i="12" s="1"/>
  <c r="J10" i="12"/>
  <c r="L10" i="12"/>
  <c r="F10" i="12" s="1"/>
  <c r="H10" i="12" s="1"/>
  <c r="O9" i="12"/>
  <c r="J9" i="12" s="1"/>
  <c r="L9" i="12"/>
  <c r="F9" i="12" s="1"/>
  <c r="H9" i="12" s="1"/>
  <c r="AF8" i="12"/>
  <c r="AF7" i="12" s="1"/>
  <c r="AE8" i="12"/>
  <c r="AE7" i="12" s="1"/>
  <c r="AD8" i="12"/>
  <c r="AC8" i="12"/>
  <c r="AB8" i="12"/>
  <c r="AA8" i="12"/>
  <c r="Z8" i="12"/>
  <c r="Y8" i="12"/>
  <c r="X8" i="12"/>
  <c r="W8" i="12"/>
  <c r="V8" i="12"/>
  <c r="U8" i="12"/>
  <c r="T8" i="12"/>
  <c r="S8" i="12"/>
  <c r="R8" i="12"/>
  <c r="Q8" i="12"/>
  <c r="P8" i="12"/>
  <c r="E8" i="12"/>
  <c r="AD7" i="12"/>
  <c r="K6" i="12"/>
  <c r="P24" i="12" l="1"/>
  <c r="AA437" i="12"/>
  <c r="AD644" i="12"/>
  <c r="O429" i="12"/>
  <c r="AA601" i="12"/>
  <c r="E7" i="12"/>
  <c r="AD404" i="12"/>
  <c r="J247" i="12"/>
  <c r="W295" i="12"/>
  <c r="Q321" i="12"/>
  <c r="Z644" i="12"/>
  <c r="D673" i="12"/>
  <c r="D644" i="12" s="1"/>
  <c r="J692" i="12"/>
  <c r="J140" i="12"/>
  <c r="J139" i="12" s="1"/>
  <c r="P188" i="12"/>
  <c r="P178" i="12" s="1"/>
  <c r="J312" i="12"/>
  <c r="M312" i="12" s="1"/>
  <c r="J274" i="12"/>
  <c r="AA295" i="12"/>
  <c r="Y110" i="12"/>
  <c r="S178" i="12"/>
  <c r="J341" i="12"/>
  <c r="S110" i="12"/>
  <c r="Z195" i="12"/>
  <c r="S272" i="12"/>
  <c r="J309" i="12"/>
  <c r="D309" i="12" s="1"/>
  <c r="G309" i="12" s="1"/>
  <c r="Q644" i="12"/>
  <c r="P7" i="12"/>
  <c r="R461" i="12"/>
  <c r="R488" i="12"/>
  <c r="AF569" i="12"/>
  <c r="R533" i="12"/>
  <c r="Q624" i="12"/>
  <c r="U624" i="12"/>
  <c r="Y624" i="12"/>
  <c r="AC624" i="12"/>
  <c r="AA644" i="12"/>
  <c r="J236" i="12"/>
  <c r="R624" i="12"/>
  <c r="AD624" i="12"/>
  <c r="S7" i="12"/>
  <c r="W7" i="12"/>
  <c r="J135" i="12"/>
  <c r="C212" i="12"/>
  <c r="C644" i="12"/>
  <c r="V644" i="12"/>
  <c r="H37" i="12"/>
  <c r="M191" i="12"/>
  <c r="S624" i="12"/>
  <c r="L42" i="12"/>
  <c r="E212" i="12"/>
  <c r="M249" i="12"/>
  <c r="C569" i="12"/>
  <c r="J571" i="12"/>
  <c r="AB603" i="12"/>
  <c r="AF603" i="12"/>
  <c r="AC644" i="12"/>
  <c r="Y31" i="12"/>
  <c r="V110" i="12"/>
  <c r="AF195" i="12"/>
  <c r="V212" i="12"/>
  <c r="V195" i="12" s="1"/>
  <c r="J222" i="12"/>
  <c r="C439" i="12"/>
  <c r="R454" i="12"/>
  <c r="R453" i="12" s="1"/>
  <c r="R439" i="12" s="1"/>
  <c r="S569" i="12"/>
  <c r="W569" i="12"/>
  <c r="AC603" i="12"/>
  <c r="Z178" i="12"/>
  <c r="Q295" i="12"/>
  <c r="L463" i="12"/>
  <c r="AA461" i="12"/>
  <c r="C533" i="12"/>
  <c r="AD533" i="12"/>
  <c r="O323" i="12"/>
  <c r="O322" i="12" s="1"/>
  <c r="C83" i="12"/>
  <c r="W83" i="12"/>
  <c r="W31" i="12" s="1"/>
  <c r="W110" i="12"/>
  <c r="AC110" i="12"/>
  <c r="R178" i="12"/>
  <c r="AE178" i="12"/>
  <c r="M262" i="12"/>
  <c r="P439" i="12"/>
  <c r="AA450" i="12"/>
  <c r="L450" i="12" s="1"/>
  <c r="M545" i="12"/>
  <c r="U644" i="12"/>
  <c r="J650" i="12"/>
  <c r="J646" i="12" s="1"/>
  <c r="V533" i="12"/>
  <c r="T7" i="12"/>
  <c r="Q31" i="12"/>
  <c r="Z31" i="12"/>
  <c r="AE31" i="12"/>
  <c r="L63" i="12"/>
  <c r="Y183" i="12"/>
  <c r="L183" i="12" s="1"/>
  <c r="AD195" i="12"/>
  <c r="P272" i="12"/>
  <c r="T272" i="12"/>
  <c r="AF272" i="12"/>
  <c r="AF295" i="12"/>
  <c r="U321" i="12"/>
  <c r="V321" i="12"/>
  <c r="J386" i="12"/>
  <c r="D386" i="12" s="1"/>
  <c r="Y404" i="12"/>
  <c r="AC404" i="12"/>
  <c r="J411" i="12"/>
  <c r="M419" i="12"/>
  <c r="J463" i="12"/>
  <c r="L528" i="12"/>
  <c r="F528" i="12" s="1"/>
  <c r="H528" i="12" s="1"/>
  <c r="Z581" i="12"/>
  <c r="L583" i="12"/>
  <c r="M583" i="12" s="1"/>
  <c r="Q585" i="12"/>
  <c r="G687" i="12"/>
  <c r="J406" i="12"/>
  <c r="AF644" i="12"/>
  <c r="V178" i="12"/>
  <c r="J253" i="12"/>
  <c r="M261" i="12"/>
  <c r="H319" i="12"/>
  <c r="J382" i="12"/>
  <c r="M382" i="12" s="1"/>
  <c r="F384" i="12"/>
  <c r="H384" i="12" s="1"/>
  <c r="M492" i="12"/>
  <c r="C488" i="12"/>
  <c r="M596" i="12"/>
  <c r="M670" i="12"/>
  <c r="H216" i="12"/>
  <c r="S295" i="12"/>
  <c r="E295" i="12"/>
  <c r="J326" i="12"/>
  <c r="S461" i="12"/>
  <c r="J477" i="12"/>
  <c r="J535" i="12"/>
  <c r="L582" i="12"/>
  <c r="F585" i="12"/>
  <c r="H585" i="12" s="1"/>
  <c r="C603" i="12"/>
  <c r="O24" i="12"/>
  <c r="M288" i="12"/>
  <c r="M297" i="12"/>
  <c r="J296" i="12"/>
  <c r="D349" i="12"/>
  <c r="G349" i="12" s="1"/>
  <c r="J375" i="12"/>
  <c r="O375" i="12"/>
  <c r="D469" i="12"/>
  <c r="J468" i="12"/>
  <c r="M593" i="12"/>
  <c r="D153" i="12"/>
  <c r="D151" i="12" s="1"/>
  <c r="J151" i="12"/>
  <c r="J188" i="12"/>
  <c r="O326" i="12"/>
  <c r="J473" i="12"/>
  <c r="D474" i="12"/>
  <c r="J541" i="12"/>
  <c r="D194" i="12"/>
  <c r="D193" i="12" s="1"/>
  <c r="J193" i="12"/>
  <c r="M289" i="12"/>
  <c r="J363" i="12"/>
  <c r="J362" i="12" s="1"/>
  <c r="O362" i="12"/>
  <c r="D491" i="12"/>
  <c r="J490" i="12"/>
  <c r="J561" i="12"/>
  <c r="J131" i="12"/>
  <c r="J173" i="12"/>
  <c r="J227" i="12"/>
  <c r="J372" i="12"/>
  <c r="J371" i="12" s="1"/>
  <c r="O371" i="12"/>
  <c r="J442" i="12"/>
  <c r="O441" i="12"/>
  <c r="J626" i="12"/>
  <c r="J605" i="12"/>
  <c r="D619" i="12"/>
  <c r="G619" i="12" s="1"/>
  <c r="J617" i="12"/>
  <c r="M640" i="12"/>
  <c r="J638" i="12"/>
  <c r="D337" i="12"/>
  <c r="J336" i="12"/>
  <c r="M676" i="12"/>
  <c r="T569" i="12"/>
  <c r="D20" i="12"/>
  <c r="G20" i="12" s="1"/>
  <c r="J19" i="12"/>
  <c r="J8" i="12"/>
  <c r="J56" i="12"/>
  <c r="J54" i="12" s="1"/>
  <c r="O54" i="12"/>
  <c r="E178" i="12"/>
  <c r="E644" i="12"/>
  <c r="J546" i="12"/>
  <c r="J495" i="12"/>
  <c r="P569" i="12"/>
  <c r="U404" i="12"/>
  <c r="M201" i="12"/>
  <c r="M237" i="12"/>
  <c r="H369" i="12"/>
  <c r="F368" i="12"/>
  <c r="H368" i="12" s="1"/>
  <c r="J52" i="12"/>
  <c r="M52" i="12" s="1"/>
  <c r="O143" i="12"/>
  <c r="J221" i="12"/>
  <c r="H247" i="12"/>
  <c r="M258" i="12"/>
  <c r="M294" i="12"/>
  <c r="AE321" i="12"/>
  <c r="H324" i="12"/>
  <c r="W335" i="12"/>
  <c r="J388" i="12"/>
  <c r="M388" i="12" s="1"/>
  <c r="AA459" i="12"/>
  <c r="L459" i="12" s="1"/>
  <c r="L518" i="12"/>
  <c r="F518" i="12" s="1"/>
  <c r="H518" i="12" s="1"/>
  <c r="J519" i="12"/>
  <c r="O581" i="12"/>
  <c r="H586" i="12"/>
  <c r="W624" i="12"/>
  <c r="P681" i="12"/>
  <c r="J681" i="12" s="1"/>
  <c r="M681" i="12" s="1"/>
  <c r="J690" i="12"/>
  <c r="M690" i="12" s="1"/>
  <c r="O692" i="12"/>
  <c r="M693" i="12"/>
  <c r="T644" i="12"/>
  <c r="X644" i="12"/>
  <c r="J184" i="12"/>
  <c r="M184" i="12" s="1"/>
  <c r="M256" i="12"/>
  <c r="AE272" i="12"/>
  <c r="J390" i="12"/>
  <c r="D390" i="12" s="1"/>
  <c r="F396" i="12"/>
  <c r="H396" i="12" s="1"/>
  <c r="J398" i="12"/>
  <c r="F400" i="12"/>
  <c r="H400" i="12" s="1"/>
  <c r="J422" i="12"/>
  <c r="M422" i="12" s="1"/>
  <c r="AA488" i="12"/>
  <c r="Y488" i="12"/>
  <c r="S644" i="12"/>
  <c r="W644" i="12"/>
  <c r="J688" i="12"/>
  <c r="M688" i="12" s="1"/>
  <c r="G692" i="12"/>
  <c r="U110" i="12"/>
  <c r="M167" i="12"/>
  <c r="M231" i="12"/>
  <c r="M250" i="12"/>
  <c r="M251" i="12"/>
  <c r="T439" i="12"/>
  <c r="X439" i="12"/>
  <c r="AB439" i="12"/>
  <c r="E439" i="12"/>
  <c r="L451" i="12"/>
  <c r="F451" i="12" s="1"/>
  <c r="F450" i="12" s="1"/>
  <c r="H450" i="12" s="1"/>
  <c r="AE439" i="12"/>
  <c r="L460" i="12"/>
  <c r="F460" i="12" s="1"/>
  <c r="H460" i="12" s="1"/>
  <c r="V461" i="12"/>
  <c r="Z461" i="12"/>
  <c r="AD461" i="12"/>
  <c r="M480" i="12"/>
  <c r="W488" i="12"/>
  <c r="G511" i="12"/>
  <c r="J529" i="12"/>
  <c r="M529" i="12" s="1"/>
  <c r="M544" i="12"/>
  <c r="L567" i="12"/>
  <c r="R644" i="12"/>
  <c r="J674" i="12"/>
  <c r="M674" i="12" s="1"/>
  <c r="F681" i="12"/>
  <c r="G681" i="12" s="1"/>
  <c r="M67" i="12"/>
  <c r="T110" i="12"/>
  <c r="Z110" i="12"/>
  <c r="H182" i="12"/>
  <c r="AC178" i="12"/>
  <c r="J187" i="12"/>
  <c r="M187" i="12" s="1"/>
  <c r="R195" i="12"/>
  <c r="AE212" i="12"/>
  <c r="AE195" i="12" s="1"/>
  <c r="M268" i="12"/>
  <c r="F365" i="12"/>
  <c r="Z424" i="12"/>
  <c r="J426" i="12"/>
  <c r="M426" i="12" s="1"/>
  <c r="O477" i="12"/>
  <c r="S533" i="12"/>
  <c r="W533" i="12"/>
  <c r="Q603" i="12"/>
  <c r="F682" i="12"/>
  <c r="G682" i="12" s="1"/>
  <c r="M186" i="12"/>
  <c r="M132" i="12"/>
  <c r="M162" i="12"/>
  <c r="J51" i="12"/>
  <c r="M51" i="12" s="1"/>
  <c r="M163" i="12"/>
  <c r="M223" i="12"/>
  <c r="M164" i="12"/>
  <c r="M176" i="12"/>
  <c r="M190" i="12"/>
  <c r="M122" i="12"/>
  <c r="M200" i="12"/>
  <c r="M202" i="12"/>
  <c r="M205" i="12"/>
  <c r="M185" i="12"/>
  <c r="M141" i="12"/>
  <c r="M66" i="12"/>
  <c r="M208" i="12"/>
  <c r="M53" i="12"/>
  <c r="M55" i="12"/>
  <c r="G187" i="12"/>
  <c r="H187" i="12"/>
  <c r="F183" i="12"/>
  <c r="H183" i="12" s="1"/>
  <c r="L143" i="12"/>
  <c r="M160" i="12"/>
  <c r="D164" i="12"/>
  <c r="G164" i="12" s="1"/>
  <c r="M166" i="12"/>
  <c r="L193" i="12"/>
  <c r="D195" i="12"/>
  <c r="M206" i="12"/>
  <c r="M213" i="12"/>
  <c r="M224" i="12"/>
  <c r="F233" i="12"/>
  <c r="G233" i="12" s="1"/>
  <c r="M255" i="12"/>
  <c r="AC272" i="12"/>
  <c r="J290" i="12"/>
  <c r="D290" i="12" s="1"/>
  <c r="G290" i="12" s="1"/>
  <c r="L362" i="12"/>
  <c r="L365" i="12"/>
  <c r="M365" i="12" s="1"/>
  <c r="F388" i="12"/>
  <c r="H388" i="12" s="1"/>
  <c r="N388" i="12"/>
  <c r="N392" i="12"/>
  <c r="F392" i="12"/>
  <c r="H392" i="12" s="1"/>
  <c r="J427" i="12"/>
  <c r="M427" i="12" s="1"/>
  <c r="M499" i="12"/>
  <c r="F499" i="12"/>
  <c r="F495" i="12" s="1"/>
  <c r="H495" i="12" s="1"/>
  <c r="G504" i="12"/>
  <c r="L525" i="12"/>
  <c r="F525" i="12" s="1"/>
  <c r="AE569" i="12"/>
  <c r="V31" i="12"/>
  <c r="U40" i="12"/>
  <c r="U31" i="12" s="1"/>
  <c r="L54" i="12"/>
  <c r="AD110" i="12"/>
  <c r="M142" i="12"/>
  <c r="V272" i="12"/>
  <c r="M498" i="12"/>
  <c r="D498" i="12"/>
  <c r="G498" i="12" s="1"/>
  <c r="R582" i="12"/>
  <c r="R581" i="12" s="1"/>
  <c r="R569" i="12" s="1"/>
  <c r="AA581" i="12"/>
  <c r="J80" i="12"/>
  <c r="M80" i="12" s="1"/>
  <c r="J114" i="12"/>
  <c r="D114" i="12" s="1"/>
  <c r="G114" i="12" s="1"/>
  <c r="G160" i="12"/>
  <c r="L59" i="12"/>
  <c r="M59" i="12" s="1"/>
  <c r="AE110" i="12"/>
  <c r="L112" i="12"/>
  <c r="M123" i="12"/>
  <c r="O131" i="12"/>
  <c r="O173" i="12"/>
  <c r="W178" i="12"/>
  <c r="AF178" i="12"/>
  <c r="C178" i="12"/>
  <c r="Q178" i="12"/>
  <c r="M189" i="12"/>
  <c r="G191" i="12"/>
  <c r="P195" i="12"/>
  <c r="T195" i="12"/>
  <c r="L236" i="12"/>
  <c r="L247" i="12"/>
  <c r="M248" i="12"/>
  <c r="E272" i="12"/>
  <c r="W272" i="12"/>
  <c r="X287" i="12"/>
  <c r="L287" i="12" s="1"/>
  <c r="L291" i="12"/>
  <c r="F291" i="12" s="1"/>
  <c r="F287" i="12" s="1"/>
  <c r="H287" i="12" s="1"/>
  <c r="F293" i="12"/>
  <c r="G293" i="12" s="1"/>
  <c r="R272" i="12"/>
  <c r="L296" i="12"/>
  <c r="M301" i="12"/>
  <c r="M303" i="12"/>
  <c r="J307" i="12"/>
  <c r="M307" i="12" s="1"/>
  <c r="M308" i="12"/>
  <c r="M310" i="12"/>
  <c r="J311" i="12"/>
  <c r="D311" i="12" s="1"/>
  <c r="G311" i="12" s="1"/>
  <c r="E321" i="12"/>
  <c r="H325" i="12"/>
  <c r="L336" i="12"/>
  <c r="S439" i="12"/>
  <c r="W439" i="12"/>
  <c r="D503" i="12"/>
  <c r="G503" i="12" s="1"/>
  <c r="M503" i="12"/>
  <c r="O510" i="12"/>
  <c r="J510" i="12" s="1"/>
  <c r="X507" i="12"/>
  <c r="G565" i="12"/>
  <c r="H565" i="12"/>
  <c r="J577" i="12"/>
  <c r="J576" i="12" s="1"/>
  <c r="O576" i="12"/>
  <c r="C110" i="12"/>
  <c r="R31" i="12"/>
  <c r="P110" i="12"/>
  <c r="U7" i="12"/>
  <c r="P31" i="12"/>
  <c r="L32" i="12"/>
  <c r="AF31" i="12"/>
  <c r="AD31" i="12"/>
  <c r="L70" i="12"/>
  <c r="O79" i="12"/>
  <c r="J85" i="12"/>
  <c r="M85" i="12" s="1"/>
  <c r="J101" i="12"/>
  <c r="Q110" i="12"/>
  <c r="M113" i="12"/>
  <c r="Q195" i="12"/>
  <c r="U195" i="12"/>
  <c r="Y195" i="12"/>
  <c r="AC195" i="12"/>
  <c r="H217" i="12"/>
  <c r="L227" i="12"/>
  <c r="G256" i="12"/>
  <c r="H270" i="12"/>
  <c r="U295" i="12"/>
  <c r="M299" i="12"/>
  <c r="M300" i="12"/>
  <c r="L302" i="12"/>
  <c r="L325" i="12"/>
  <c r="X324" i="12"/>
  <c r="L324" i="12" s="1"/>
  <c r="M327" i="12"/>
  <c r="AC335" i="12"/>
  <c r="O350" i="12"/>
  <c r="J350" i="12" s="1"/>
  <c r="L350" i="12"/>
  <c r="F350" i="12" s="1"/>
  <c r="H350" i="12" s="1"/>
  <c r="AE404" i="12"/>
  <c r="AF439" i="12"/>
  <c r="M496" i="12"/>
  <c r="D496" i="12"/>
  <c r="G496" i="12" s="1"/>
  <c r="J384" i="12"/>
  <c r="M384" i="12" s="1"/>
  <c r="L406" i="12"/>
  <c r="Q417" i="12"/>
  <c r="J428" i="12"/>
  <c r="M428" i="12" s="1"/>
  <c r="J434" i="12"/>
  <c r="M434" i="12" s="1"/>
  <c r="J457" i="12"/>
  <c r="J456" i="12" s="1"/>
  <c r="P461" i="12"/>
  <c r="T461" i="12"/>
  <c r="X461" i="12"/>
  <c r="AB461" i="12"/>
  <c r="U488" i="12"/>
  <c r="AC488" i="12"/>
  <c r="J517" i="12"/>
  <c r="M517" i="12" s="1"/>
  <c r="J520" i="12"/>
  <c r="D520" i="12" s="1"/>
  <c r="G520" i="12" s="1"/>
  <c r="J521" i="12"/>
  <c r="M521" i="12" s="1"/>
  <c r="J527" i="12"/>
  <c r="D527" i="12" s="1"/>
  <c r="J530" i="12"/>
  <c r="M530" i="12" s="1"/>
  <c r="Q533" i="12"/>
  <c r="U533" i="12"/>
  <c r="M563" i="12"/>
  <c r="U569" i="12"/>
  <c r="Q581" i="12"/>
  <c r="U603" i="12"/>
  <c r="R603" i="12"/>
  <c r="V603" i="12"/>
  <c r="Z603" i="12"/>
  <c r="AD603" i="12"/>
  <c r="M620" i="12"/>
  <c r="C624" i="12"/>
  <c r="V624" i="12"/>
  <c r="Z624" i="12"/>
  <c r="M636" i="12"/>
  <c r="AB644" i="12"/>
  <c r="H675" i="12"/>
  <c r="G683" i="12"/>
  <c r="J684" i="12"/>
  <c r="M684" i="12" s="1"/>
  <c r="J687" i="12"/>
  <c r="M687" i="12" s="1"/>
  <c r="G690" i="12"/>
  <c r="H696" i="12"/>
  <c r="E624" i="12"/>
  <c r="AA624" i="12"/>
  <c r="M319" i="12"/>
  <c r="C321" i="12"/>
  <c r="Z321" i="12"/>
  <c r="AD321" i="12"/>
  <c r="G323" i="12"/>
  <c r="P321" i="12"/>
  <c r="T321" i="12"/>
  <c r="AB321" i="12"/>
  <c r="AF321" i="12"/>
  <c r="H351" i="12"/>
  <c r="J402" i="12"/>
  <c r="M402" i="12" s="1"/>
  <c r="M409" i="12"/>
  <c r="L411" i="12"/>
  <c r="M412" i="12"/>
  <c r="M413" i="12"/>
  <c r="L438" i="12"/>
  <c r="F438" i="12" s="1"/>
  <c r="F437" i="12" s="1"/>
  <c r="H437" i="12" s="1"/>
  <c r="J451" i="12"/>
  <c r="J460" i="12"/>
  <c r="D460" i="12" s="1"/>
  <c r="E461" i="12"/>
  <c r="M469" i="12"/>
  <c r="G481" i="12"/>
  <c r="L485" i="12"/>
  <c r="V488" i="12"/>
  <c r="AE488" i="12"/>
  <c r="AD488" i="12"/>
  <c r="J528" i="12"/>
  <c r="AA585" i="12"/>
  <c r="J586" i="12"/>
  <c r="J585" i="12" s="1"/>
  <c r="L587" i="12"/>
  <c r="M587" i="12" s="1"/>
  <c r="O605" i="12"/>
  <c r="L626" i="12"/>
  <c r="P624" i="12"/>
  <c r="M669" i="12"/>
  <c r="J679" i="12"/>
  <c r="G685" i="12"/>
  <c r="M689" i="12"/>
  <c r="S31" i="12"/>
  <c r="M305" i="12"/>
  <c r="J306" i="12"/>
  <c r="M306" i="12" s="1"/>
  <c r="R321" i="12"/>
  <c r="AA321" i="12"/>
  <c r="Y321" i="12"/>
  <c r="AC321" i="12"/>
  <c r="G325" i="12"/>
  <c r="H326" i="12"/>
  <c r="M329" i="12"/>
  <c r="S335" i="12"/>
  <c r="L345" i="12"/>
  <c r="J392" i="12"/>
  <c r="D392" i="12" s="1"/>
  <c r="W461" i="12"/>
  <c r="AE461" i="12"/>
  <c r="P533" i="12"/>
  <c r="T533" i="12"/>
  <c r="L535" i="12"/>
  <c r="AF533" i="12"/>
  <c r="AE533" i="12"/>
  <c r="G564" i="12"/>
  <c r="AC569" i="12"/>
  <c r="J597" i="12"/>
  <c r="J595" i="12" s="1"/>
  <c r="P603" i="12"/>
  <c r="T603" i="12"/>
  <c r="L605" i="12"/>
  <c r="Y610" i="12"/>
  <c r="L610" i="12" s="1"/>
  <c r="M647" i="12"/>
  <c r="M649" i="12"/>
  <c r="O673" i="12"/>
  <c r="M683" i="12"/>
  <c r="L685" i="12"/>
  <c r="M337" i="12"/>
  <c r="M61" i="12"/>
  <c r="M75" i="12"/>
  <c r="M81" i="12"/>
  <c r="M74" i="12"/>
  <c r="T40" i="12"/>
  <c r="J42" i="12"/>
  <c r="G42" i="12" s="1"/>
  <c r="D127" i="12"/>
  <c r="G127" i="12" s="1"/>
  <c r="M127" i="12"/>
  <c r="M117" i="12"/>
  <c r="D117" i="12"/>
  <c r="G117" i="12" s="1"/>
  <c r="V7" i="12"/>
  <c r="Y7" i="12"/>
  <c r="AC7" i="12"/>
  <c r="E31" i="12"/>
  <c r="M33" i="12"/>
  <c r="J38" i="12"/>
  <c r="M38" i="12" s="1"/>
  <c r="AC40" i="12"/>
  <c r="L40" i="12" s="1"/>
  <c r="C47" i="12"/>
  <c r="J49" i="12"/>
  <c r="M49" i="12" s="1"/>
  <c r="J50" i="12"/>
  <c r="M50" i="12" s="1"/>
  <c r="F70" i="12"/>
  <c r="H70" i="12" s="1"/>
  <c r="M72" i="12"/>
  <c r="J89" i="12"/>
  <c r="D89" i="12" s="1"/>
  <c r="O112" i="12"/>
  <c r="O111" i="12" s="1"/>
  <c r="E110" i="12"/>
  <c r="AA118" i="12"/>
  <c r="L118" i="12" s="1"/>
  <c r="M121" i="12"/>
  <c r="O130" i="12"/>
  <c r="O125" i="12" s="1"/>
  <c r="X125" i="12"/>
  <c r="L125" i="12" s="1"/>
  <c r="L130" i="12"/>
  <c r="F130" i="12" s="1"/>
  <c r="F125" i="12" s="1"/>
  <c r="H125" i="12" s="1"/>
  <c r="F135" i="12"/>
  <c r="H135" i="12" s="1"/>
  <c r="D140" i="12"/>
  <c r="G140" i="12" s="1"/>
  <c r="D141" i="12"/>
  <c r="G141" i="12" s="1"/>
  <c r="G142" i="12"/>
  <c r="L155" i="12"/>
  <c r="O155" i="12"/>
  <c r="J156" i="12"/>
  <c r="J155" i="12" s="1"/>
  <c r="D163" i="12"/>
  <c r="G163" i="12" s="1"/>
  <c r="H190" i="12"/>
  <c r="G190" i="12"/>
  <c r="F274" i="12"/>
  <c r="H274" i="12" s="1"/>
  <c r="H275" i="12"/>
  <c r="G299" i="12"/>
  <c r="F296" i="12"/>
  <c r="G296" i="12" s="1"/>
  <c r="H299" i="12"/>
  <c r="M407" i="12"/>
  <c r="D407" i="12"/>
  <c r="G407" i="12" s="1"/>
  <c r="J41" i="12"/>
  <c r="M44" i="12"/>
  <c r="L47" i="12"/>
  <c r="J48" i="12"/>
  <c r="M48" i="12" s="1"/>
  <c r="T47" i="12"/>
  <c r="L76" i="12"/>
  <c r="L79" i="12"/>
  <c r="M88" i="12"/>
  <c r="AA111" i="12"/>
  <c r="L111" i="12" s="1"/>
  <c r="M115" i="12"/>
  <c r="O118" i="12"/>
  <c r="AB110" i="12"/>
  <c r="AF110" i="12"/>
  <c r="R119" i="12"/>
  <c r="R118" i="12" s="1"/>
  <c r="G129" i="12"/>
  <c r="D132" i="12"/>
  <c r="G132" i="12" s="1"/>
  <c r="D150" i="12"/>
  <c r="D147" i="12" s="1"/>
  <c r="O147" i="12"/>
  <c r="F151" i="12"/>
  <c r="H151" i="12" s="1"/>
  <c r="F155" i="12"/>
  <c r="H155" i="12" s="1"/>
  <c r="M170" i="12"/>
  <c r="D170" i="12"/>
  <c r="G170" i="12" s="1"/>
  <c r="H189" i="12"/>
  <c r="F188" i="12"/>
  <c r="H188" i="12" s="1"/>
  <c r="H408" i="12"/>
  <c r="F406" i="12"/>
  <c r="H406" i="12" s="1"/>
  <c r="R7" i="12"/>
  <c r="G115" i="12"/>
  <c r="M124" i="12"/>
  <c r="D124" i="12"/>
  <c r="G124" i="12" s="1"/>
  <c r="M157" i="12"/>
  <c r="D157" i="12"/>
  <c r="G157" i="12" s="1"/>
  <c r="M172" i="12"/>
  <c r="D172" i="12"/>
  <c r="G172" i="12" s="1"/>
  <c r="M292" i="12"/>
  <c r="G292" i="12"/>
  <c r="F375" i="12"/>
  <c r="H375" i="12" s="1"/>
  <c r="H376" i="12"/>
  <c r="M408" i="12"/>
  <c r="D408" i="12"/>
  <c r="G408" i="12" s="1"/>
  <c r="L8" i="12"/>
  <c r="O40" i="12"/>
  <c r="M73" i="12"/>
  <c r="L100" i="12"/>
  <c r="O103" i="12"/>
  <c r="J104" i="12"/>
  <c r="J103" i="12" s="1"/>
  <c r="D113" i="12"/>
  <c r="G113" i="12" s="1"/>
  <c r="F111" i="12"/>
  <c r="H111" i="12" s="1"/>
  <c r="D122" i="12"/>
  <c r="G122" i="12" s="1"/>
  <c r="D123" i="12"/>
  <c r="G123" i="12" s="1"/>
  <c r="M129" i="12"/>
  <c r="F131" i="12"/>
  <c r="H131" i="12" s="1"/>
  <c r="M136" i="12"/>
  <c r="D136" i="12"/>
  <c r="G136" i="12" s="1"/>
  <c r="M137" i="12"/>
  <c r="D137" i="12"/>
  <c r="G137" i="12" s="1"/>
  <c r="F143" i="12"/>
  <c r="H143" i="12" s="1"/>
  <c r="H144" i="12"/>
  <c r="F147" i="12"/>
  <c r="M153" i="12"/>
  <c r="M158" i="12"/>
  <c r="D158" i="12"/>
  <c r="G158" i="12" s="1"/>
  <c r="M159" i="12"/>
  <c r="D159" i="12"/>
  <c r="G159" i="12" s="1"/>
  <c r="M171" i="12"/>
  <c r="D171" i="12"/>
  <c r="G171" i="12" s="1"/>
  <c r="M177" i="12"/>
  <c r="D177" i="12"/>
  <c r="G177" i="12" s="1"/>
  <c r="F193" i="12"/>
  <c r="H193" i="12" s="1"/>
  <c r="H194" i="12"/>
  <c r="H262" i="12"/>
  <c r="G262" i="12"/>
  <c r="G426" i="12"/>
  <c r="H426" i="12"/>
  <c r="F424" i="12"/>
  <c r="G424" i="12" s="1"/>
  <c r="L135" i="12"/>
  <c r="L139" i="12"/>
  <c r="L147" i="12"/>
  <c r="H169" i="12"/>
  <c r="F168" i="12"/>
  <c r="H168" i="12" s="1"/>
  <c r="D176" i="12"/>
  <c r="G176" i="12" s="1"/>
  <c r="AD178" i="12"/>
  <c r="U178" i="12"/>
  <c r="H186" i="12"/>
  <c r="L196" i="12"/>
  <c r="M196" i="12" s="1"/>
  <c r="S195" i="12"/>
  <c r="W195" i="12"/>
  <c r="M207" i="12"/>
  <c r="M214" i="12"/>
  <c r="L221" i="12"/>
  <c r="F221" i="12" s="1"/>
  <c r="G221" i="12" s="1"/>
  <c r="M232" i="12"/>
  <c r="C236" i="12"/>
  <c r="G240" i="12"/>
  <c r="M260" i="12"/>
  <c r="F265" i="12"/>
  <c r="C272" i="12"/>
  <c r="AD272" i="12"/>
  <c r="G289" i="12"/>
  <c r="Z295" i="12"/>
  <c r="AD295" i="12"/>
  <c r="C302" i="12"/>
  <c r="C295" i="12" s="1"/>
  <c r="AE295" i="12"/>
  <c r="F318" i="12"/>
  <c r="H318" i="12" s="1"/>
  <c r="D324" i="12"/>
  <c r="G324" i="12" s="1"/>
  <c r="M332" i="12"/>
  <c r="O336" i="12"/>
  <c r="AE335" i="12"/>
  <c r="Q335" i="12"/>
  <c r="U335" i="12"/>
  <c r="Y335" i="12"/>
  <c r="F345" i="12"/>
  <c r="H345" i="12" s="1"/>
  <c r="O351" i="12"/>
  <c r="J351" i="12" s="1"/>
  <c r="D351" i="12" s="1"/>
  <c r="G351" i="12" s="1"/>
  <c r="X355" i="12"/>
  <c r="L355" i="12" s="1"/>
  <c r="L368" i="12"/>
  <c r="M368" i="12" s="1"/>
  <c r="L371" i="12"/>
  <c r="J380" i="12"/>
  <c r="D380" i="12" s="1"/>
  <c r="F382" i="12"/>
  <c r="H382" i="12" s="1"/>
  <c r="F394" i="12"/>
  <c r="H394" i="12" s="1"/>
  <c r="D409" i="12"/>
  <c r="G409" i="12" s="1"/>
  <c r="J423" i="12"/>
  <c r="C404" i="12"/>
  <c r="Q429" i="12"/>
  <c r="J430" i="12"/>
  <c r="F456" i="12"/>
  <c r="H456" i="12" s="1"/>
  <c r="H457" i="12"/>
  <c r="J525" i="12"/>
  <c r="D525" i="12" s="1"/>
  <c r="L168" i="12"/>
  <c r="O168" i="12"/>
  <c r="M174" i="12"/>
  <c r="M175" i="12"/>
  <c r="L188" i="12"/>
  <c r="M194" i="12"/>
  <c r="L375" i="12"/>
  <c r="F380" i="12"/>
  <c r="H380" i="12" s="1"/>
  <c r="M386" i="12"/>
  <c r="J396" i="12"/>
  <c r="M396" i="12" s="1"/>
  <c r="F398" i="12"/>
  <c r="H398" i="12" s="1"/>
  <c r="J400" i="12"/>
  <c r="D400" i="12" s="1"/>
  <c r="F402" i="12"/>
  <c r="H402" i="12" s="1"/>
  <c r="E404" i="12"/>
  <c r="M219" i="12"/>
  <c r="E227" i="12"/>
  <c r="G255" i="12"/>
  <c r="M259" i="12"/>
  <c r="G261" i="12"/>
  <c r="L265" i="12"/>
  <c r="M265" i="12" s="1"/>
  <c r="G268" i="12"/>
  <c r="G270" i="12"/>
  <c r="L274" i="12"/>
  <c r="L293" i="12"/>
  <c r="G294" i="12"/>
  <c r="O302" i="12"/>
  <c r="G306" i="12"/>
  <c r="M313" i="12"/>
  <c r="T295" i="12"/>
  <c r="X295" i="12"/>
  <c r="O318" i="12"/>
  <c r="G319" i="12"/>
  <c r="L323" i="12"/>
  <c r="L326" i="12"/>
  <c r="L333" i="12"/>
  <c r="D336" i="12"/>
  <c r="M349" i="12"/>
  <c r="P404" i="12"/>
  <c r="T404" i="12"/>
  <c r="AF404" i="12"/>
  <c r="V404" i="12"/>
  <c r="Z417" i="12"/>
  <c r="L417" i="12" s="1"/>
  <c r="J420" i="12"/>
  <c r="D420" i="12" s="1"/>
  <c r="J421" i="12"/>
  <c r="M421" i="12" s="1"/>
  <c r="AA424" i="12"/>
  <c r="AA404" i="12" s="1"/>
  <c r="L425" i="12"/>
  <c r="M432" i="12"/>
  <c r="F485" i="12"/>
  <c r="H485" i="12" s="1"/>
  <c r="H486" i="12"/>
  <c r="G486" i="12"/>
  <c r="D518" i="12"/>
  <c r="L131" i="12"/>
  <c r="O135" i="12"/>
  <c r="O139" i="12"/>
  <c r="L151" i="12"/>
  <c r="D167" i="12"/>
  <c r="G167" i="12" s="1"/>
  <c r="J169" i="12"/>
  <c r="J168" i="12" s="1"/>
  <c r="L173" i="12"/>
  <c r="T178" i="12"/>
  <c r="M181" i="12"/>
  <c r="D188" i="12"/>
  <c r="C240" i="12"/>
  <c r="H240" i="12" s="1"/>
  <c r="L240" i="12"/>
  <c r="E240" i="12"/>
  <c r="L270" i="12"/>
  <c r="M271" i="12"/>
  <c r="Q272" i="12"/>
  <c r="U272" i="12"/>
  <c r="Y272" i="12"/>
  <c r="G288" i="12"/>
  <c r="J293" i="12"/>
  <c r="Y295" i="12"/>
  <c r="AC295" i="12"/>
  <c r="M298" i="12"/>
  <c r="H303" i="12"/>
  <c r="R302" i="12"/>
  <c r="R295" i="12" s="1"/>
  <c r="D310" i="12"/>
  <c r="G310" i="12" s="1"/>
  <c r="L318" i="12"/>
  <c r="M318" i="12" s="1"/>
  <c r="S321" i="12"/>
  <c r="W321" i="12"/>
  <c r="M328" i="12"/>
  <c r="C335" i="12"/>
  <c r="R335" i="12"/>
  <c r="V335" i="12"/>
  <c r="Z335" i="12"/>
  <c r="AD335" i="12"/>
  <c r="E335" i="12"/>
  <c r="P335" i="12"/>
  <c r="T335" i="12"/>
  <c r="X341" i="12"/>
  <c r="L341" i="12" s="1"/>
  <c r="AF335" i="12"/>
  <c r="M361" i="12"/>
  <c r="F371" i="12"/>
  <c r="H371" i="12" s="1"/>
  <c r="F386" i="12"/>
  <c r="H386" i="12" s="1"/>
  <c r="F390" i="12"/>
  <c r="H390" i="12" s="1"/>
  <c r="J394" i="12"/>
  <c r="D394" i="12" s="1"/>
  <c r="J431" i="12"/>
  <c r="M431" i="12" s="1"/>
  <c r="M435" i="12"/>
  <c r="D435" i="12"/>
  <c r="G435" i="12" s="1"/>
  <c r="H454" i="12"/>
  <c r="F453" i="12"/>
  <c r="H453" i="12" s="1"/>
  <c r="S404" i="12"/>
  <c r="W404" i="12"/>
  <c r="L441" i="12"/>
  <c r="J443" i="12"/>
  <c r="D443" i="12" s="1"/>
  <c r="G443" i="12" s="1"/>
  <c r="U439" i="12"/>
  <c r="L446" i="12"/>
  <c r="AC439" i="12"/>
  <c r="Q450" i="12"/>
  <c r="O450" i="12"/>
  <c r="Q459" i="12"/>
  <c r="J459" i="12" s="1"/>
  <c r="L468" i="12"/>
  <c r="M482" i="12"/>
  <c r="M483" i="12"/>
  <c r="E488" i="12"/>
  <c r="L490" i="12"/>
  <c r="D492" i="12"/>
  <c r="G492" i="12" s="1"/>
  <c r="O495" i="12"/>
  <c r="J509" i="12"/>
  <c r="D509" i="12" s="1"/>
  <c r="L510" i="12"/>
  <c r="F510" i="12" s="1"/>
  <c r="X513" i="12"/>
  <c r="X488" i="12" s="1"/>
  <c r="AB513" i="12"/>
  <c r="J514" i="12"/>
  <c r="M514" i="12" s="1"/>
  <c r="J522" i="12"/>
  <c r="M522" i="12" s="1"/>
  <c r="O526" i="12"/>
  <c r="L526" i="12"/>
  <c r="Q526" i="12"/>
  <c r="M537" i="12"/>
  <c r="M538" i="12"/>
  <c r="F538" i="12"/>
  <c r="G538" i="12" s="1"/>
  <c r="G545" i="12"/>
  <c r="M548" i="12"/>
  <c r="D561" i="12"/>
  <c r="H623" i="12"/>
  <c r="F622" i="12"/>
  <c r="H622" i="12" s="1"/>
  <c r="M628" i="12"/>
  <c r="D628" i="12"/>
  <c r="G628" i="12" s="1"/>
  <c r="M444" i="12"/>
  <c r="V439" i="12"/>
  <c r="Z439" i="12"/>
  <c r="AD439" i="12"/>
  <c r="M476" i="12"/>
  <c r="T488" i="12"/>
  <c r="M623" i="12"/>
  <c r="D623" i="12"/>
  <c r="G623" i="12" s="1"/>
  <c r="G648" i="12"/>
  <c r="H648" i="12"/>
  <c r="G469" i="12"/>
  <c r="F468" i="12"/>
  <c r="H468" i="12" s="1"/>
  <c r="AF473" i="12"/>
  <c r="L473" i="12" s="1"/>
  <c r="L477" i="12"/>
  <c r="M493" i="12"/>
  <c r="Q507" i="12"/>
  <c r="X533" i="12"/>
  <c r="AC533" i="12"/>
  <c r="M550" i="12"/>
  <c r="L561" i="12"/>
  <c r="G566" i="12"/>
  <c r="H618" i="12"/>
  <c r="G618" i="12"/>
  <c r="M627" i="12"/>
  <c r="D627" i="12"/>
  <c r="G627" i="12" s="1"/>
  <c r="L429" i="12"/>
  <c r="M436" i="12"/>
  <c r="AA453" i="12"/>
  <c r="L456" i="12"/>
  <c r="C461" i="12"/>
  <c r="Q461" i="12"/>
  <c r="U461" i="12"/>
  <c r="Y461" i="12"/>
  <c r="AC461" i="12"/>
  <c r="O468" i="12"/>
  <c r="F476" i="12"/>
  <c r="G476" i="12" s="1"/>
  <c r="L495" i="12"/>
  <c r="P488" i="12"/>
  <c r="AF488" i="12"/>
  <c r="S507" i="12"/>
  <c r="J515" i="12"/>
  <c r="M515" i="12" s="1"/>
  <c r="S526" i="12"/>
  <c r="G537" i="12"/>
  <c r="F544" i="12"/>
  <c r="G544" i="12" s="1"/>
  <c r="H652" i="12"/>
  <c r="G652" i="12"/>
  <c r="V569" i="12"/>
  <c r="E569" i="12"/>
  <c r="O585" i="12"/>
  <c r="F595" i="12"/>
  <c r="H595" i="12" s="1"/>
  <c r="X603" i="12"/>
  <c r="S603" i="12"/>
  <c r="W603" i="12"/>
  <c r="AA603" i="12"/>
  <c r="AE603" i="12"/>
  <c r="O622" i="12"/>
  <c r="J622" i="12" s="1"/>
  <c r="M643" i="12"/>
  <c r="F680" i="12"/>
  <c r="G680" i="12" s="1"/>
  <c r="P680" i="12"/>
  <c r="J680" i="12" s="1"/>
  <c r="M680" i="12" s="1"/>
  <c r="P682" i="12"/>
  <c r="J682" i="12" s="1"/>
  <c r="M682" i="12" s="1"/>
  <c r="J686" i="12"/>
  <c r="H692" i="12"/>
  <c r="L692" i="12"/>
  <c r="P651" i="12"/>
  <c r="L571" i="12"/>
  <c r="Z589" i="12"/>
  <c r="L589" i="12" s="1"/>
  <c r="L590" i="12"/>
  <c r="F605" i="12"/>
  <c r="H605" i="12" s="1"/>
  <c r="O610" i="12"/>
  <c r="O617" i="12"/>
  <c r="L622" i="12"/>
  <c r="F626" i="12"/>
  <c r="H626" i="12" s="1"/>
  <c r="T624" i="12"/>
  <c r="L631" i="12"/>
  <c r="AB624" i="12"/>
  <c r="AF624" i="12"/>
  <c r="L635" i="12"/>
  <c r="M635" i="12" s="1"/>
  <c r="L642" i="12"/>
  <c r="L646" i="12"/>
  <c r="G647" i="12"/>
  <c r="M648" i="12"/>
  <c r="M662" i="12"/>
  <c r="M668" i="12"/>
  <c r="G674" i="12"/>
  <c r="Y673" i="12"/>
  <c r="L673" i="12" s="1"/>
  <c r="L686" i="12"/>
  <c r="M694" i="12"/>
  <c r="L696" i="12"/>
  <c r="M697" i="12"/>
  <c r="D29" i="12"/>
  <c r="D28" i="12" s="1"/>
  <c r="M536" i="12"/>
  <c r="E533" i="12"/>
  <c r="M565" i="12"/>
  <c r="J568" i="12"/>
  <c r="M568" i="12" s="1"/>
  <c r="O589" i="12"/>
  <c r="Y595" i="12"/>
  <c r="L595" i="12" s="1"/>
  <c r="D596" i="12"/>
  <c r="L601" i="12"/>
  <c r="E603" i="12"/>
  <c r="M618" i="12"/>
  <c r="H620" i="12"/>
  <c r="F631" i="12"/>
  <c r="H631" i="12" s="1"/>
  <c r="H635" i="12"/>
  <c r="L638" i="12"/>
  <c r="O642" i="12"/>
  <c r="J642" i="12" s="1"/>
  <c r="F650" i="12"/>
  <c r="H650" i="12" s="1"/>
  <c r="J652" i="12"/>
  <c r="M675" i="12"/>
  <c r="J677" i="12"/>
  <c r="M677" i="12" s="1"/>
  <c r="J678" i="12"/>
  <c r="M678" i="12" s="1"/>
  <c r="L679" i="12"/>
  <c r="G684" i="12"/>
  <c r="G696" i="12"/>
  <c r="H64" i="12"/>
  <c r="G64" i="12"/>
  <c r="G53" i="12"/>
  <c r="H53" i="12"/>
  <c r="H60" i="12"/>
  <c r="F59" i="12"/>
  <c r="H65" i="12"/>
  <c r="G65" i="12"/>
  <c r="M45" i="12"/>
  <c r="D55" i="12"/>
  <c r="G55" i="12" s="1"/>
  <c r="D61" i="12"/>
  <c r="G61" i="12" s="1"/>
  <c r="M86" i="12"/>
  <c r="O8" i="12"/>
  <c r="D33" i="12"/>
  <c r="G33" i="12" s="1"/>
  <c r="D44" i="12"/>
  <c r="G44" i="12" s="1"/>
  <c r="M60" i="12"/>
  <c r="J64" i="12"/>
  <c r="G66" i="12"/>
  <c r="F100" i="12"/>
  <c r="G105" i="12"/>
  <c r="H34" i="12"/>
  <c r="G60" i="12"/>
  <c r="M65" i="12"/>
  <c r="J71" i="12"/>
  <c r="F80" i="12"/>
  <c r="M82" i="12"/>
  <c r="O83" i="12"/>
  <c r="F47" i="12"/>
  <c r="H61" i="12"/>
  <c r="D81" i="12"/>
  <c r="G75" i="12"/>
  <c r="G74" i="12"/>
  <c r="G73" i="12"/>
  <c r="G72" i="12"/>
  <c r="G71" i="12"/>
  <c r="M68" i="12"/>
  <c r="G67" i="12"/>
  <c r="D25" i="12"/>
  <c r="J25" i="12"/>
  <c r="S24" i="12"/>
  <c r="H22" i="12"/>
  <c r="F19" i="12"/>
  <c r="H19" i="12" s="1"/>
  <c r="M20" i="12"/>
  <c r="G16" i="12"/>
  <c r="H18" i="12"/>
  <c r="X19" i="12"/>
  <c r="L21" i="12"/>
  <c r="M21" i="12" s="1"/>
  <c r="G34" i="12"/>
  <c r="M34" i="12"/>
  <c r="F8" i="12"/>
  <c r="F32" i="12"/>
  <c r="H36" i="12"/>
  <c r="D35" i="12"/>
  <c r="G35" i="12" s="1"/>
  <c r="M35" i="12"/>
  <c r="D10" i="12"/>
  <c r="G10" i="12" s="1"/>
  <c r="M10" i="12"/>
  <c r="M15" i="12"/>
  <c r="D15" i="12"/>
  <c r="G15" i="12" s="1"/>
  <c r="G17" i="12"/>
  <c r="D56" i="12"/>
  <c r="G56" i="12" s="1"/>
  <c r="M56" i="12"/>
  <c r="D57" i="12"/>
  <c r="G57" i="12" s="1"/>
  <c r="M57" i="12"/>
  <c r="F54" i="12"/>
  <c r="H54" i="12" s="1"/>
  <c r="H58" i="12"/>
  <c r="M102" i="12"/>
  <c r="D102" i="12"/>
  <c r="G102" i="12" s="1"/>
  <c r="M9" i="12"/>
  <c r="D9" i="12"/>
  <c r="M11" i="12"/>
  <c r="D11" i="12"/>
  <c r="G11" i="12" s="1"/>
  <c r="M12" i="12"/>
  <c r="D12" i="12"/>
  <c r="G12" i="12" s="1"/>
  <c r="M13" i="12"/>
  <c r="D13" i="12"/>
  <c r="G13" i="12" s="1"/>
  <c r="D14" i="12"/>
  <c r="G14" i="12" s="1"/>
  <c r="M14" i="12"/>
  <c r="M18" i="12"/>
  <c r="D18" i="12"/>
  <c r="G18" i="12" s="1"/>
  <c r="H46" i="12"/>
  <c r="F40" i="12"/>
  <c r="H40" i="12" s="1"/>
  <c r="G21" i="12"/>
  <c r="Q7" i="12"/>
  <c r="M16" i="12"/>
  <c r="M17" i="12"/>
  <c r="H21" i="12"/>
  <c r="C32" i="12"/>
  <c r="H41" i="12"/>
  <c r="H45" i="12"/>
  <c r="C59" i="12"/>
  <c r="D62" i="12"/>
  <c r="D63" i="12"/>
  <c r="O76" i="12"/>
  <c r="J91" i="12"/>
  <c r="L103" i="12"/>
  <c r="M105" i="12"/>
  <c r="F118" i="12"/>
  <c r="H118" i="12" s="1"/>
  <c r="G121" i="12"/>
  <c r="F139" i="12"/>
  <c r="H139" i="12" s="1"/>
  <c r="F173" i="12"/>
  <c r="H173" i="12" s="1"/>
  <c r="G175" i="12"/>
  <c r="F212" i="12"/>
  <c r="C8" i="12"/>
  <c r="C7" i="12" s="1"/>
  <c r="X31" i="12"/>
  <c r="O32" i="12"/>
  <c r="F86" i="12"/>
  <c r="F83" i="12" s="1"/>
  <c r="D88" i="12"/>
  <c r="G88" i="12" s="1"/>
  <c r="M161" i="12"/>
  <c r="D161" i="12"/>
  <c r="G161" i="12" s="1"/>
  <c r="H181" i="12"/>
  <c r="G181" i="12"/>
  <c r="F180" i="12"/>
  <c r="G180" i="12" s="1"/>
  <c r="H56" i="12"/>
  <c r="M87" i="12"/>
  <c r="M165" i="12"/>
  <c r="D165" i="12"/>
  <c r="G165" i="12" s="1"/>
  <c r="O47" i="12"/>
  <c r="F68" i="12"/>
  <c r="F63" i="12" s="1"/>
  <c r="H63" i="12" s="1"/>
  <c r="F82" i="12"/>
  <c r="H82" i="12" s="1"/>
  <c r="L83" i="12"/>
  <c r="F196" i="12"/>
  <c r="G206" i="12"/>
  <c r="R112" i="12"/>
  <c r="R111" i="12" s="1"/>
  <c r="H132" i="12"/>
  <c r="J144" i="12"/>
  <c r="J143" i="12" s="1"/>
  <c r="M143" i="12" s="1"/>
  <c r="O151" i="12"/>
  <c r="D162" i="12"/>
  <c r="G162" i="12" s="1"/>
  <c r="D166" i="12"/>
  <c r="G166" i="12" s="1"/>
  <c r="D174" i="12"/>
  <c r="X178" i="12"/>
  <c r="Y180" i="12"/>
  <c r="Y178" i="12" s="1"/>
  <c r="G189" i="12"/>
  <c r="C196" i="12"/>
  <c r="L212" i="12"/>
  <c r="G247" i="12"/>
  <c r="F253" i="12"/>
  <c r="M330" i="12"/>
  <c r="D344" i="12"/>
  <c r="G344" i="12" s="1"/>
  <c r="M344" i="12"/>
  <c r="G358" i="12"/>
  <c r="H136" i="12"/>
  <c r="H140" i="12"/>
  <c r="X195" i="12"/>
  <c r="M220" i="12"/>
  <c r="H228" i="12"/>
  <c r="C227" i="12"/>
  <c r="G237" i="12"/>
  <c r="F236" i="12"/>
  <c r="D304" i="12"/>
  <c r="M304" i="12"/>
  <c r="F341" i="12"/>
  <c r="H341" i="12" s="1"/>
  <c r="H344" i="12"/>
  <c r="D346" i="12"/>
  <c r="M346" i="12"/>
  <c r="M352" i="12"/>
  <c r="D352" i="12"/>
  <c r="G352" i="12" s="1"/>
  <c r="M353" i="12"/>
  <c r="D353" i="12"/>
  <c r="G353" i="12" s="1"/>
  <c r="M354" i="12"/>
  <c r="D354" i="12"/>
  <c r="G354" i="12" s="1"/>
  <c r="M360" i="12"/>
  <c r="D360" i="12"/>
  <c r="G360" i="12" s="1"/>
  <c r="M366" i="12"/>
  <c r="D366" i="12"/>
  <c r="M369" i="12"/>
  <c r="D369" i="12"/>
  <c r="M218" i="12"/>
  <c r="M275" i="12"/>
  <c r="D276" i="12"/>
  <c r="G276" i="12" s="1"/>
  <c r="M276" i="12"/>
  <c r="G277" i="12"/>
  <c r="M277" i="12"/>
  <c r="G278" i="12"/>
  <c r="M278" i="12"/>
  <c r="G279" i="12"/>
  <c r="M279" i="12"/>
  <c r="D280" i="12"/>
  <c r="G280" i="12" s="1"/>
  <c r="M280" i="12"/>
  <c r="D281" i="12"/>
  <c r="G281" i="12" s="1"/>
  <c r="M281" i="12"/>
  <c r="D282" i="12"/>
  <c r="G282" i="12" s="1"/>
  <c r="M282" i="12"/>
  <c r="D283" i="12"/>
  <c r="G283" i="12" s="1"/>
  <c r="M283" i="12"/>
  <c r="G284" i="12"/>
  <c r="M284" i="12"/>
  <c r="G285" i="12"/>
  <c r="M285" i="12"/>
  <c r="D286" i="12"/>
  <c r="G286" i="12" s="1"/>
  <c r="M286" i="12"/>
  <c r="F362" i="12"/>
  <c r="H362" i="12" s="1"/>
  <c r="H364" i="12"/>
  <c r="M373" i="12"/>
  <c r="D373" i="12"/>
  <c r="G373" i="12" s="1"/>
  <c r="M376" i="12"/>
  <c r="D376" i="12"/>
  <c r="M334" i="12"/>
  <c r="D334" i="12"/>
  <c r="J333" i="12"/>
  <c r="D342" i="12"/>
  <c r="M342" i="12"/>
  <c r="D343" i="12"/>
  <c r="G343" i="12" s="1"/>
  <c r="M343" i="12"/>
  <c r="F355" i="12"/>
  <c r="H355" i="12" s="1"/>
  <c r="H357" i="12"/>
  <c r="M398" i="12"/>
  <c r="D398" i="12"/>
  <c r="H259" i="12"/>
  <c r="G301" i="12"/>
  <c r="F302" i="12"/>
  <c r="G305" i="12"/>
  <c r="L315" i="12"/>
  <c r="X322" i="12"/>
  <c r="H323" i="12"/>
  <c r="M331" i="12"/>
  <c r="X348" i="12"/>
  <c r="L348" i="12" s="1"/>
  <c r="H349" i="12"/>
  <c r="M358" i="12"/>
  <c r="G414" i="12"/>
  <c r="M415" i="12"/>
  <c r="D415" i="12"/>
  <c r="G415" i="12" s="1"/>
  <c r="M433" i="12"/>
  <c r="G433" i="12"/>
  <c r="D465" i="12"/>
  <c r="G465" i="12" s="1"/>
  <c r="M465" i="12"/>
  <c r="D466" i="12"/>
  <c r="G466" i="12" s="1"/>
  <c r="M466" i="12"/>
  <c r="M470" i="12"/>
  <c r="G471" i="12"/>
  <c r="M471" i="12"/>
  <c r="L253" i="12"/>
  <c r="J270" i="12"/>
  <c r="V302" i="12"/>
  <c r="F322" i="12"/>
  <c r="O341" i="12"/>
  <c r="O345" i="12"/>
  <c r="F348" i="12"/>
  <c r="H348" i="12" s="1"/>
  <c r="O357" i="12"/>
  <c r="O359" i="12"/>
  <c r="J359" i="12" s="1"/>
  <c r="M478" i="12"/>
  <c r="D478" i="12"/>
  <c r="M479" i="12"/>
  <c r="D479" i="12"/>
  <c r="G479" i="12" s="1"/>
  <c r="F490" i="12"/>
  <c r="H491" i="12"/>
  <c r="F411" i="12"/>
  <c r="H411" i="12" s="1"/>
  <c r="H416" i="12"/>
  <c r="M442" i="12"/>
  <c r="D442" i="12"/>
  <c r="F463" i="12"/>
  <c r="H467" i="12"/>
  <c r="M474" i="12"/>
  <c r="P295" i="12"/>
  <c r="F337" i="12"/>
  <c r="D378" i="12"/>
  <c r="G378" i="12" s="1"/>
  <c r="Q424" i="12"/>
  <c r="J425" i="12"/>
  <c r="H474" i="12"/>
  <c r="M475" i="12"/>
  <c r="G475" i="12"/>
  <c r="O406" i="12"/>
  <c r="M414" i="12"/>
  <c r="L418" i="12"/>
  <c r="R418" i="12"/>
  <c r="R417" i="12" s="1"/>
  <c r="R404" i="12" s="1"/>
  <c r="G419" i="12"/>
  <c r="H425" i="12"/>
  <c r="F429" i="12"/>
  <c r="H429" i="12" s="1"/>
  <c r="Q438" i="12"/>
  <c r="Q437" i="12" s="1"/>
  <c r="J437" i="12" s="1"/>
  <c r="Y439" i="12"/>
  <c r="O463" i="12"/>
  <c r="D480" i="12"/>
  <c r="G480" i="12" s="1"/>
  <c r="M481" i="12"/>
  <c r="O485" i="12"/>
  <c r="J485" i="12" s="1"/>
  <c r="M486" i="12"/>
  <c r="O490" i="12"/>
  <c r="D494" i="12"/>
  <c r="G497" i="12"/>
  <c r="M500" i="12"/>
  <c r="G500" i="12"/>
  <c r="G502" i="12"/>
  <c r="M504" i="12"/>
  <c r="AB507" i="12"/>
  <c r="L508" i="12"/>
  <c r="F508" i="12" s="1"/>
  <c r="M519" i="12"/>
  <c r="D519" i="12"/>
  <c r="G519" i="12" s="1"/>
  <c r="G523" i="12"/>
  <c r="G524" i="12"/>
  <c r="X404" i="12"/>
  <c r="O411" i="12"/>
  <c r="F417" i="12"/>
  <c r="H417" i="12" s="1"/>
  <c r="Z437" i="12"/>
  <c r="L437" i="12" s="1"/>
  <c r="O453" i="12"/>
  <c r="O456" i="12"/>
  <c r="O473" i="12"/>
  <c r="D483" i="12"/>
  <c r="G483" i="12" s="1"/>
  <c r="M487" i="12"/>
  <c r="N487" i="12"/>
  <c r="M491" i="12"/>
  <c r="G493" i="12"/>
  <c r="M497" i="12"/>
  <c r="G501" i="12"/>
  <c r="M501" i="12"/>
  <c r="M502" i="12"/>
  <c r="M505" i="12"/>
  <c r="D505" i="12"/>
  <c r="G505" i="12" s="1"/>
  <c r="G512" i="12"/>
  <c r="M512" i="12"/>
  <c r="G530" i="12"/>
  <c r="M542" i="12"/>
  <c r="J508" i="12"/>
  <c r="M539" i="12"/>
  <c r="D539" i="12"/>
  <c r="G539" i="12" s="1"/>
  <c r="M540" i="12"/>
  <c r="G540" i="12"/>
  <c r="H542" i="12"/>
  <c r="M543" i="12"/>
  <c r="G543" i="12"/>
  <c r="F444" i="12"/>
  <c r="F441" i="12" s="1"/>
  <c r="F482" i="12"/>
  <c r="H482" i="12" s="1"/>
  <c r="G491" i="12"/>
  <c r="H532" i="12"/>
  <c r="F531" i="12"/>
  <c r="H531" i="12" s="1"/>
  <c r="Z507" i="12"/>
  <c r="L509" i="12"/>
  <c r="F509" i="12" s="1"/>
  <c r="H509" i="12" s="1"/>
  <c r="M511" i="12"/>
  <c r="H515" i="12"/>
  <c r="M523" i="12"/>
  <c r="M524" i="12"/>
  <c r="Q531" i="12"/>
  <c r="J531" i="12" s="1"/>
  <c r="O535" i="12"/>
  <c r="H537" i="12"/>
  <c r="O546" i="12"/>
  <c r="F548" i="12"/>
  <c r="M564" i="12"/>
  <c r="M566" i="12"/>
  <c r="F571" i="12"/>
  <c r="G574" i="12"/>
  <c r="M574" i="12"/>
  <c r="F576" i="12"/>
  <c r="H576" i="12" s="1"/>
  <c r="G579" i="12"/>
  <c r="M579" i="12"/>
  <c r="J590" i="12"/>
  <c r="M600" i="12"/>
  <c r="D600" i="12"/>
  <c r="G600" i="12" s="1"/>
  <c r="D606" i="12"/>
  <c r="M606" i="12"/>
  <c r="D607" i="12"/>
  <c r="G607" i="12" s="1"/>
  <c r="M607" i="12"/>
  <c r="D608" i="12"/>
  <c r="G608" i="12" s="1"/>
  <c r="M608" i="12"/>
  <c r="D609" i="12"/>
  <c r="G609" i="12" s="1"/>
  <c r="M609" i="12"/>
  <c r="O513" i="12"/>
  <c r="S513" i="12"/>
  <c r="Z531" i="12"/>
  <c r="L531" i="12" s="1"/>
  <c r="O541" i="12"/>
  <c r="G550" i="12"/>
  <c r="O561" i="12"/>
  <c r="G567" i="12"/>
  <c r="H567" i="12"/>
  <c r="M591" i="12"/>
  <c r="F591" i="12"/>
  <c r="J602" i="12"/>
  <c r="J601" i="12" s="1"/>
  <c r="G613" i="12"/>
  <c r="H613" i="12"/>
  <c r="F610" i="12"/>
  <c r="H610" i="12" s="1"/>
  <c r="M572" i="12"/>
  <c r="G573" i="12"/>
  <c r="M573" i="12"/>
  <c r="M598" i="12"/>
  <c r="D598" i="12"/>
  <c r="G598" i="12" s="1"/>
  <c r="Q513" i="12"/>
  <c r="F536" i="12"/>
  <c r="Y541" i="12"/>
  <c r="Y533" i="12" s="1"/>
  <c r="L547" i="12"/>
  <c r="F547" i="12" s="1"/>
  <c r="Z546" i="12"/>
  <c r="L546" i="12" s="1"/>
  <c r="F563" i="12"/>
  <c r="G578" i="12"/>
  <c r="M578" i="12"/>
  <c r="O567" i="12"/>
  <c r="J567" i="12" s="1"/>
  <c r="X569" i="12"/>
  <c r="F581" i="12"/>
  <c r="H581" i="12" s="1"/>
  <c r="Z585" i="12"/>
  <c r="L586" i="12"/>
  <c r="L602" i="12"/>
  <c r="F602" i="12" s="1"/>
  <c r="J611" i="12"/>
  <c r="J610" i="12" s="1"/>
  <c r="J615" i="12"/>
  <c r="J614" i="12" s="1"/>
  <c r="O614" i="12"/>
  <c r="M619" i="12"/>
  <c r="Y617" i="12"/>
  <c r="L617" i="12" s="1"/>
  <c r="L621" i="12"/>
  <c r="F621" i="12" s="1"/>
  <c r="F617" i="12" s="1"/>
  <c r="H617" i="12" s="1"/>
  <c r="G661" i="12"/>
  <c r="F651" i="12"/>
  <c r="D612" i="12"/>
  <c r="G612" i="12" s="1"/>
  <c r="M612" i="12"/>
  <c r="M613" i="12"/>
  <c r="L614" i="12"/>
  <c r="G686" i="12"/>
  <c r="O571" i="12"/>
  <c r="J592" i="12"/>
  <c r="G593" i="12"/>
  <c r="H615" i="12"/>
  <c r="F614" i="12"/>
  <c r="H614" i="12" s="1"/>
  <c r="D621" i="12"/>
  <c r="Y576" i="12"/>
  <c r="O595" i="12"/>
  <c r="D632" i="12"/>
  <c r="M632" i="12"/>
  <c r="D633" i="12"/>
  <c r="G633" i="12" s="1"/>
  <c r="M633" i="12"/>
  <c r="X624" i="12"/>
  <c r="O631" i="12"/>
  <c r="F638" i="12"/>
  <c r="H638" i="12" s="1"/>
  <c r="F642" i="12"/>
  <c r="H649" i="12"/>
  <c r="Y651" i="12"/>
  <c r="O696" i="12"/>
  <c r="D636" i="12"/>
  <c r="O638" i="12"/>
  <c r="D640" i="12"/>
  <c r="G640" i="12" s="1"/>
  <c r="G643" i="12"/>
  <c r="O646" i="12"/>
  <c r="L661" i="12"/>
  <c r="M661" i="12" s="1"/>
  <c r="O626" i="12"/>
  <c r="G518" i="12" l="1"/>
  <c r="H438" i="12"/>
  <c r="M193" i="12"/>
  <c r="M173" i="12"/>
  <c r="D52" i="12"/>
  <c r="G52" i="12" s="1"/>
  <c r="M247" i="12"/>
  <c r="H538" i="12"/>
  <c r="F459" i="12"/>
  <c r="H459" i="12" s="1"/>
  <c r="M617" i="12"/>
  <c r="AB488" i="12"/>
  <c r="AB6" i="12" s="1"/>
  <c r="M692" i="12"/>
  <c r="M140" i="12"/>
  <c r="X272" i="12"/>
  <c r="F535" i="12"/>
  <c r="D622" i="12"/>
  <c r="G622" i="12" s="1"/>
  <c r="M227" i="12"/>
  <c r="M296" i="12"/>
  <c r="M236" i="12"/>
  <c r="M309" i="12"/>
  <c r="M518" i="12"/>
  <c r="G398" i="12"/>
  <c r="F513" i="12"/>
  <c r="H513" i="12" s="1"/>
  <c r="M696" i="12"/>
  <c r="M586" i="12"/>
  <c r="M114" i="12"/>
  <c r="H47" i="12"/>
  <c r="M605" i="12"/>
  <c r="M528" i="12"/>
  <c r="J24" i="12"/>
  <c r="AA110" i="12"/>
  <c r="D382" i="12"/>
  <c r="G382" i="12" s="1"/>
  <c r="M400" i="12"/>
  <c r="D48" i="12"/>
  <c r="G48" i="12" s="1"/>
  <c r="M650" i="12"/>
  <c r="D384" i="12"/>
  <c r="G384" i="12" s="1"/>
  <c r="J323" i="12"/>
  <c r="J322" i="12" s="1"/>
  <c r="M642" i="12"/>
  <c r="M394" i="12"/>
  <c r="Q569" i="12"/>
  <c r="L581" i="12"/>
  <c r="F541" i="12"/>
  <c r="H541" i="12" s="1"/>
  <c r="X110" i="12"/>
  <c r="H83" i="12"/>
  <c r="H212" i="12"/>
  <c r="D388" i="12"/>
  <c r="G388" i="12" s="1"/>
  <c r="M326" i="12"/>
  <c r="D626" i="12"/>
  <c r="G626" i="12" s="1"/>
  <c r="P673" i="12"/>
  <c r="P644" i="12" s="1"/>
  <c r="H296" i="12"/>
  <c r="H544" i="12"/>
  <c r="Y569" i="12"/>
  <c r="Y603" i="12"/>
  <c r="L603" i="12" s="1"/>
  <c r="N603" i="12" s="1"/>
  <c r="D517" i="12"/>
  <c r="G517" i="12" s="1"/>
  <c r="M622" i="12"/>
  <c r="M311" i="12"/>
  <c r="T31" i="12"/>
  <c r="T6" i="12" s="1"/>
  <c r="J348" i="12"/>
  <c r="M348" i="12" s="1"/>
  <c r="D510" i="12"/>
  <c r="G510" i="12" s="1"/>
  <c r="M510" i="12"/>
  <c r="J178" i="12"/>
  <c r="H451" i="12"/>
  <c r="M495" i="12"/>
  <c r="Z569" i="12"/>
  <c r="M577" i="12"/>
  <c r="S488" i="12"/>
  <c r="S6" i="12" s="1"/>
  <c r="F526" i="12"/>
  <c r="H526" i="12" s="1"/>
  <c r="O507" i="12"/>
  <c r="O488" i="12" s="1"/>
  <c r="D490" i="12"/>
  <c r="G490" i="12" s="1"/>
  <c r="M457" i="12"/>
  <c r="M270" i="12"/>
  <c r="M151" i="12"/>
  <c r="AA439" i="12"/>
  <c r="L439" i="12" s="1"/>
  <c r="N439" i="12" s="1"/>
  <c r="G485" i="12"/>
  <c r="M459" i="12"/>
  <c r="M460" i="12"/>
  <c r="H293" i="12"/>
  <c r="G193" i="12"/>
  <c r="H302" i="12"/>
  <c r="F227" i="12"/>
  <c r="G227" i="12" s="1"/>
  <c r="M362" i="12"/>
  <c r="J582" i="12"/>
  <c r="J581" i="12" s="1"/>
  <c r="M443" i="12"/>
  <c r="M392" i="12"/>
  <c r="M103" i="12"/>
  <c r="M468" i="12"/>
  <c r="J454" i="12"/>
  <c r="M454" i="12" s="1"/>
  <c r="M168" i="12"/>
  <c r="L295" i="12"/>
  <c r="N295" i="12" s="1"/>
  <c r="O295" i="12"/>
  <c r="M101" i="12"/>
  <c r="J100" i="12"/>
  <c r="M100" i="12" s="1"/>
  <c r="D402" i="12"/>
  <c r="G402" i="12" s="1"/>
  <c r="M135" i="12"/>
  <c r="F646" i="12"/>
  <c r="H646" i="12" s="1"/>
  <c r="L624" i="12"/>
  <c r="N624" i="12" s="1"/>
  <c r="O569" i="12"/>
  <c r="D528" i="12"/>
  <c r="G528" i="12" s="1"/>
  <c r="G499" i="12"/>
  <c r="M485" i="12"/>
  <c r="D406" i="12"/>
  <c r="G406" i="12" s="1"/>
  <c r="F473" i="12"/>
  <c r="H473" i="12" s="1"/>
  <c r="D396" i="12"/>
  <c r="G396" i="12" s="1"/>
  <c r="M378" i="12"/>
  <c r="D457" i="12"/>
  <c r="G457" i="12" s="1"/>
  <c r="L195" i="12"/>
  <c r="N195" i="12" s="1"/>
  <c r="R110" i="12"/>
  <c r="R6" i="12" s="1"/>
  <c r="J119" i="12"/>
  <c r="J118" i="12" s="1"/>
  <c r="M118" i="12" s="1"/>
  <c r="J130" i="12"/>
  <c r="J125" i="12" s="1"/>
  <c r="M125" i="12" s="1"/>
  <c r="D50" i="12"/>
  <c r="G50" i="12" s="1"/>
  <c r="G194" i="12"/>
  <c r="G380" i="12"/>
  <c r="M131" i="12"/>
  <c r="M372" i="12"/>
  <c r="O439" i="12"/>
  <c r="O404" i="12"/>
  <c r="F295" i="12"/>
  <c r="H295" i="12" s="1"/>
  <c r="G596" i="12"/>
  <c r="M390" i="12"/>
  <c r="M290" i="12"/>
  <c r="J287" i="12"/>
  <c r="M287" i="12" s="1"/>
  <c r="G650" i="12"/>
  <c r="F673" i="12"/>
  <c r="G673" i="12" s="1"/>
  <c r="M601" i="12"/>
  <c r="M520" i="12"/>
  <c r="L507" i="12"/>
  <c r="J507" i="12"/>
  <c r="M456" i="12"/>
  <c r="H424" i="12"/>
  <c r="G394" i="12"/>
  <c r="D372" i="12"/>
  <c r="D371" i="12" s="1"/>
  <c r="G371" i="12" s="1"/>
  <c r="L272" i="12"/>
  <c r="N272" i="12" s="1"/>
  <c r="M679" i="12"/>
  <c r="M595" i="12"/>
  <c r="M525" i="12"/>
  <c r="M527" i="12"/>
  <c r="H476" i="12"/>
  <c r="M425" i="12"/>
  <c r="J424" i="12"/>
  <c r="G392" i="12"/>
  <c r="M380" i="12"/>
  <c r="M345" i="12"/>
  <c r="M420" i="12"/>
  <c r="F272" i="12"/>
  <c r="H272" i="12" s="1"/>
  <c r="G400" i="12"/>
  <c r="M351" i="12"/>
  <c r="D51" i="12"/>
  <c r="G51" i="12" s="1"/>
  <c r="G525" i="12"/>
  <c r="G183" i="12"/>
  <c r="J47" i="12"/>
  <c r="M47" i="12" s="1"/>
  <c r="D363" i="12"/>
  <c r="G153" i="12"/>
  <c r="M477" i="12"/>
  <c r="D451" i="12"/>
  <c r="G451" i="12" s="1"/>
  <c r="J450" i="12"/>
  <c r="M450" i="12" s="1"/>
  <c r="M638" i="12"/>
  <c r="M567" i="12"/>
  <c r="O533" i="12"/>
  <c r="J533" i="12" s="1"/>
  <c r="O461" i="12"/>
  <c r="J461" i="12" s="1"/>
  <c r="M333" i="12"/>
  <c r="O348" i="12"/>
  <c r="M451" i="12"/>
  <c r="M363" i="12"/>
  <c r="J183" i="12"/>
  <c r="M183" i="12" s="1"/>
  <c r="J325" i="12"/>
  <c r="O324" i="12"/>
  <c r="O321" i="12" s="1"/>
  <c r="M561" i="12"/>
  <c r="J589" i="12"/>
  <c r="M589" i="12" s="1"/>
  <c r="M411" i="12"/>
  <c r="M375" i="12"/>
  <c r="M430" i="12"/>
  <c r="J429" i="12"/>
  <c r="M429" i="12" s="1"/>
  <c r="O110" i="12"/>
  <c r="M597" i="12"/>
  <c r="D597" i="12"/>
  <c r="G597" i="12" s="1"/>
  <c r="M54" i="12"/>
  <c r="J441" i="12"/>
  <c r="M441" i="12" s="1"/>
  <c r="J212" i="12"/>
  <c r="M212" i="12" s="1"/>
  <c r="J302" i="12"/>
  <c r="M302" i="12" s="1"/>
  <c r="D101" i="12"/>
  <c r="M652" i="12"/>
  <c r="J651" i="12"/>
  <c r="O603" i="12"/>
  <c r="J603" i="12" s="1"/>
  <c r="M336" i="12"/>
  <c r="M631" i="12"/>
  <c r="O624" i="12"/>
  <c r="J624" i="12" s="1"/>
  <c r="W6" i="12"/>
  <c r="M646" i="12"/>
  <c r="O644" i="12"/>
  <c r="D19" i="12"/>
  <c r="G19" i="12" s="1"/>
  <c r="M64" i="12"/>
  <c r="J63" i="12"/>
  <c r="M63" i="12" s="1"/>
  <c r="M8" i="12"/>
  <c r="O7" i="12"/>
  <c r="J7" i="12" s="1"/>
  <c r="J32" i="12"/>
  <c r="M32" i="12" s="1"/>
  <c r="M41" i="12"/>
  <c r="J40" i="12"/>
  <c r="M40" i="12" s="1"/>
  <c r="D85" i="12"/>
  <c r="G85" i="12" s="1"/>
  <c r="J83" i="12"/>
  <c r="M83" i="12" s="1"/>
  <c r="D80" i="12"/>
  <c r="G80" i="12" s="1"/>
  <c r="J79" i="12"/>
  <c r="M79" i="12" s="1"/>
  <c r="O31" i="12"/>
  <c r="M71" i="12"/>
  <c r="J70" i="12"/>
  <c r="M70" i="12" s="1"/>
  <c r="J526" i="12"/>
  <c r="M526" i="12" s="1"/>
  <c r="D514" i="12"/>
  <c r="G514" i="12" s="1"/>
  <c r="J513" i="12"/>
  <c r="D529" i="12"/>
  <c r="G529" i="12" s="1"/>
  <c r="D515" i="12"/>
  <c r="G515" i="12" s="1"/>
  <c r="D522" i="12"/>
  <c r="G522" i="12" s="1"/>
  <c r="D521" i="12"/>
  <c r="G521" i="12" s="1"/>
  <c r="G460" i="12"/>
  <c r="D459" i="12"/>
  <c r="D38" i="12"/>
  <c r="G38" i="12" s="1"/>
  <c r="M253" i="12"/>
  <c r="U6" i="12"/>
  <c r="D59" i="12"/>
  <c r="G59" i="12" s="1"/>
  <c r="G81" i="12"/>
  <c r="H59" i="12"/>
  <c r="M293" i="12"/>
  <c r="E195" i="12"/>
  <c r="E6" i="12" s="1"/>
  <c r="E4" i="12" s="1"/>
  <c r="M371" i="12"/>
  <c r="Q439" i="12"/>
  <c r="AA569" i="12"/>
  <c r="G151" i="12"/>
  <c r="D139" i="12"/>
  <c r="G139" i="12" s="1"/>
  <c r="M42" i="12"/>
  <c r="D135" i="12"/>
  <c r="G135" i="12" s="1"/>
  <c r="D131" i="12"/>
  <c r="G131" i="12" s="1"/>
  <c r="D24" i="12"/>
  <c r="G188" i="12"/>
  <c r="M221" i="12"/>
  <c r="M240" i="12"/>
  <c r="Q488" i="12"/>
  <c r="Q404" i="12"/>
  <c r="X335" i="12"/>
  <c r="L335" i="12" s="1"/>
  <c r="N335" i="12" s="1"/>
  <c r="M610" i="12"/>
  <c r="M139" i="12"/>
  <c r="AC31" i="12"/>
  <c r="AC6" i="12" s="1"/>
  <c r="AD6" i="12"/>
  <c r="D495" i="12"/>
  <c r="G495" i="12" s="1"/>
  <c r="AE6" i="12"/>
  <c r="M155" i="12"/>
  <c r="D49" i="12"/>
  <c r="G49" i="12" s="1"/>
  <c r="F603" i="12"/>
  <c r="H603" i="12" s="1"/>
  <c r="F624" i="12"/>
  <c r="H624" i="12" s="1"/>
  <c r="M621" i="12"/>
  <c r="D638" i="12"/>
  <c r="G638" i="12" s="1"/>
  <c r="L585" i="12"/>
  <c r="M585" i="12" s="1"/>
  <c r="J112" i="12"/>
  <c r="L453" i="12"/>
  <c r="G386" i="12"/>
  <c r="G318" i="12"/>
  <c r="M169" i="12"/>
  <c r="D169" i="12"/>
  <c r="H265" i="12"/>
  <c r="G265" i="12"/>
  <c r="L424" i="12"/>
  <c r="M156" i="12"/>
  <c r="D156" i="12"/>
  <c r="G156" i="12" s="1"/>
  <c r="M473" i="12"/>
  <c r="G86" i="12"/>
  <c r="M686" i="12"/>
  <c r="AF461" i="12"/>
  <c r="L461" i="12" s="1"/>
  <c r="N461" i="12" s="1"/>
  <c r="L541" i="12"/>
  <c r="M541" i="12" s="1"/>
  <c r="G444" i="12"/>
  <c r="L513" i="12"/>
  <c r="G390" i="12"/>
  <c r="M188" i="12"/>
  <c r="H80" i="12"/>
  <c r="D40" i="12"/>
  <c r="G40" i="12" s="1"/>
  <c r="D54" i="12"/>
  <c r="G54" i="12" s="1"/>
  <c r="D70" i="12"/>
  <c r="G70" i="12" s="1"/>
  <c r="M531" i="12"/>
  <c r="G592" i="12"/>
  <c r="M592" i="12"/>
  <c r="M571" i="12"/>
  <c r="F601" i="12"/>
  <c r="H601" i="12" s="1"/>
  <c r="H602" i="12"/>
  <c r="M626" i="12"/>
  <c r="H642" i="12"/>
  <c r="G642" i="12"/>
  <c r="J685" i="12"/>
  <c r="M685" i="12" s="1"/>
  <c r="G621" i="12"/>
  <c r="D617" i="12"/>
  <c r="G617" i="12" s="1"/>
  <c r="H651" i="12"/>
  <c r="G651" i="12"/>
  <c r="H547" i="12"/>
  <c r="F546" i="12"/>
  <c r="H546" i="12" s="1"/>
  <c r="G606" i="12"/>
  <c r="D605" i="12"/>
  <c r="H571" i="12"/>
  <c r="M546" i="12"/>
  <c r="M535" i="12"/>
  <c r="Z533" i="12"/>
  <c r="L533" i="12" s="1"/>
  <c r="N533" i="12" s="1"/>
  <c r="G509" i="12"/>
  <c r="G527" i="12"/>
  <c r="F404" i="12"/>
  <c r="H404" i="12" s="1"/>
  <c r="J418" i="12"/>
  <c r="J438" i="12"/>
  <c r="J357" i="12"/>
  <c r="J355" i="12" s="1"/>
  <c r="O355" i="12"/>
  <c r="D463" i="12"/>
  <c r="D411" i="12"/>
  <c r="G411" i="12" s="1"/>
  <c r="L322" i="12"/>
  <c r="X321" i="12"/>
  <c r="L321" i="12" s="1"/>
  <c r="N321" i="12" s="1"/>
  <c r="G334" i="12"/>
  <c r="D333" i="12"/>
  <c r="G333" i="12" s="1"/>
  <c r="H236" i="12"/>
  <c r="G236" i="12"/>
  <c r="V295" i="12"/>
  <c r="V6" i="12" s="1"/>
  <c r="H253" i="12"/>
  <c r="G253" i="12"/>
  <c r="L180" i="12"/>
  <c r="M180" i="12" s="1"/>
  <c r="F110" i="12"/>
  <c r="H110" i="12" s="1"/>
  <c r="G212" i="12"/>
  <c r="G63" i="12"/>
  <c r="C31" i="12"/>
  <c r="G636" i="12"/>
  <c r="D635" i="12"/>
  <c r="G635" i="12" s="1"/>
  <c r="L651" i="12"/>
  <c r="Y644" i="12"/>
  <c r="L644" i="12" s="1"/>
  <c r="N644" i="12" s="1"/>
  <c r="G632" i="12"/>
  <c r="D631" i="12"/>
  <c r="G631" i="12" s="1"/>
  <c r="M611" i="12"/>
  <c r="D611" i="12"/>
  <c r="L576" i="12"/>
  <c r="M576" i="12" s="1"/>
  <c r="D602" i="12"/>
  <c r="M602" i="12"/>
  <c r="M590" i="12"/>
  <c r="D535" i="12"/>
  <c r="D508" i="12"/>
  <c r="M508" i="12"/>
  <c r="G542" i="12"/>
  <c r="D541" i="12"/>
  <c r="G547" i="12"/>
  <c r="D546" i="12"/>
  <c r="M490" i="12"/>
  <c r="M406" i="12"/>
  <c r="G474" i="12"/>
  <c r="D473" i="12"/>
  <c r="Z404" i="12"/>
  <c r="H490" i="12"/>
  <c r="G478" i="12"/>
  <c r="D477" i="12"/>
  <c r="H322" i="12"/>
  <c r="G322" i="12"/>
  <c r="F321" i="12"/>
  <c r="H321" i="12" s="1"/>
  <c r="G376" i="12"/>
  <c r="D375" i="12"/>
  <c r="G375" i="12" s="1"/>
  <c r="G275" i="12"/>
  <c r="D274" i="12"/>
  <c r="G369" i="12"/>
  <c r="D368" i="12"/>
  <c r="G368" i="12" s="1"/>
  <c r="D326" i="12"/>
  <c r="G330" i="12"/>
  <c r="C195" i="12"/>
  <c r="L178" i="12"/>
  <c r="N178" i="12" s="1"/>
  <c r="H196" i="12"/>
  <c r="F195" i="12"/>
  <c r="D178" i="12"/>
  <c r="J195" i="12"/>
  <c r="F79" i="12"/>
  <c r="F31" i="12" s="1"/>
  <c r="G9" i="12"/>
  <c r="D8" i="12"/>
  <c r="G82" i="12"/>
  <c r="H563" i="12"/>
  <c r="F561" i="12"/>
  <c r="G563" i="12"/>
  <c r="H535" i="12"/>
  <c r="G577" i="12"/>
  <c r="D576" i="12"/>
  <c r="G576" i="12" s="1"/>
  <c r="G572" i="12"/>
  <c r="D571" i="12"/>
  <c r="H591" i="12"/>
  <c r="G591" i="12"/>
  <c r="F589" i="12"/>
  <c r="H589" i="12" s="1"/>
  <c r="G536" i="12"/>
  <c r="M547" i="12"/>
  <c r="M463" i="12"/>
  <c r="G482" i="12"/>
  <c r="D429" i="12"/>
  <c r="G429" i="12" s="1"/>
  <c r="G431" i="12"/>
  <c r="G342" i="12"/>
  <c r="D341" i="12"/>
  <c r="G346" i="12"/>
  <c r="D345" i="12"/>
  <c r="G345" i="12" s="1"/>
  <c r="G174" i="12"/>
  <c r="D173" i="12"/>
  <c r="G173" i="12" s="1"/>
  <c r="G87" i="12"/>
  <c r="M104" i="12"/>
  <c r="D104" i="12"/>
  <c r="F7" i="12"/>
  <c r="H8" i="12"/>
  <c r="L19" i="12"/>
  <c r="M19" i="12" s="1"/>
  <c r="X7" i="12"/>
  <c r="G586" i="12"/>
  <c r="D585" i="12"/>
  <c r="G585" i="12" s="1"/>
  <c r="H548" i="12"/>
  <c r="G548" i="12"/>
  <c r="Z488" i="12"/>
  <c r="L488" i="12" s="1"/>
  <c r="N488" i="12" s="1"/>
  <c r="M509" i="12"/>
  <c r="J532" i="12"/>
  <c r="F507" i="12"/>
  <c r="H507" i="12" s="1"/>
  <c r="H508" i="12"/>
  <c r="F336" i="12"/>
  <c r="G337" i="12"/>
  <c r="F477" i="12"/>
  <c r="H477" i="12" s="1"/>
  <c r="H463" i="12"/>
  <c r="D441" i="12"/>
  <c r="G442" i="12"/>
  <c r="M437" i="12"/>
  <c r="D359" i="12"/>
  <c r="G359" i="12" s="1"/>
  <c r="M359" i="12"/>
  <c r="M341" i="12"/>
  <c r="J272" i="12"/>
  <c r="M274" i="12"/>
  <c r="D468" i="12"/>
  <c r="G468" i="12" s="1"/>
  <c r="G470" i="12"/>
  <c r="D417" i="12"/>
  <c r="G417" i="12" s="1"/>
  <c r="G420" i="12"/>
  <c r="M350" i="12"/>
  <c r="D350" i="12"/>
  <c r="G366" i="12"/>
  <c r="D365" i="12"/>
  <c r="G365" i="12" s="1"/>
  <c r="D302" i="12"/>
  <c r="G304" i="12"/>
  <c r="M291" i="12"/>
  <c r="D291" i="12"/>
  <c r="M144" i="12"/>
  <c r="D144" i="12"/>
  <c r="G196" i="12"/>
  <c r="H180" i="12"/>
  <c r="F178" i="12"/>
  <c r="H178" i="12" s="1"/>
  <c r="G68" i="12"/>
  <c r="H32" i="12"/>
  <c r="L110" i="12" l="1"/>
  <c r="N110" i="12" s="1"/>
  <c r="F439" i="12"/>
  <c r="H439" i="12" s="1"/>
  <c r="G459" i="12"/>
  <c r="G541" i="12"/>
  <c r="D456" i="12"/>
  <c r="G456" i="12" s="1"/>
  <c r="L569" i="12"/>
  <c r="N569" i="12" s="1"/>
  <c r="J439" i="12"/>
  <c r="M439" i="12" s="1"/>
  <c r="M581" i="12"/>
  <c r="M323" i="12"/>
  <c r="J569" i="12"/>
  <c r="J110" i="12"/>
  <c r="C6" i="12"/>
  <c r="H673" i="12"/>
  <c r="F644" i="12"/>
  <c r="G644" i="12" s="1"/>
  <c r="M582" i="12"/>
  <c r="G372" i="12"/>
  <c r="D130" i="12"/>
  <c r="G130" i="12" s="1"/>
  <c r="M424" i="12"/>
  <c r="J644" i="12"/>
  <c r="M644" i="12" s="1"/>
  <c r="M272" i="12"/>
  <c r="M603" i="12"/>
  <c r="F533" i="12"/>
  <c r="H533" i="12" s="1"/>
  <c r="M624" i="12"/>
  <c r="M651" i="12"/>
  <c r="D83" i="12"/>
  <c r="G83" i="12" s="1"/>
  <c r="M130" i="12"/>
  <c r="J453" i="12"/>
  <c r="M453" i="12" s="1"/>
  <c r="M195" i="12"/>
  <c r="G473" i="12"/>
  <c r="D454" i="12"/>
  <c r="M507" i="12"/>
  <c r="J404" i="12"/>
  <c r="H227" i="12"/>
  <c r="D119" i="12"/>
  <c r="D118" i="12" s="1"/>
  <c r="G118" i="12" s="1"/>
  <c r="M119" i="12"/>
  <c r="G646" i="12"/>
  <c r="AA6" i="12"/>
  <c r="Q6" i="12"/>
  <c r="D450" i="12"/>
  <c r="G450" i="12" s="1"/>
  <c r="G101" i="12"/>
  <c r="D100" i="12"/>
  <c r="G100" i="12" s="1"/>
  <c r="D595" i="12"/>
  <c r="G595" i="12" s="1"/>
  <c r="P6" i="12"/>
  <c r="M461" i="12"/>
  <c r="M355" i="12"/>
  <c r="M418" i="12"/>
  <c r="J417" i="12"/>
  <c r="M417" i="12" s="1"/>
  <c r="D526" i="12"/>
  <c r="G526" i="12" s="1"/>
  <c r="J324" i="12"/>
  <c r="M324" i="12" s="1"/>
  <c r="M325" i="12"/>
  <c r="G363" i="12"/>
  <c r="D362" i="12"/>
  <c r="G362" i="12" s="1"/>
  <c r="M513" i="12"/>
  <c r="O335" i="12"/>
  <c r="J335" i="12" s="1"/>
  <c r="M335" i="12" s="1"/>
  <c r="M112" i="12"/>
  <c r="J111" i="12"/>
  <c r="M111" i="12" s="1"/>
  <c r="D32" i="12"/>
  <c r="G32" i="12" s="1"/>
  <c r="J673" i="12"/>
  <c r="M673" i="12" s="1"/>
  <c r="D79" i="12"/>
  <c r="G79" i="12" s="1"/>
  <c r="H31" i="12"/>
  <c r="D513" i="12"/>
  <c r="G513" i="12" s="1"/>
  <c r="J488" i="12"/>
  <c r="M488" i="12" s="1"/>
  <c r="M178" i="12"/>
  <c r="D112" i="12"/>
  <c r="G112" i="12" s="1"/>
  <c r="D155" i="12"/>
  <c r="G155" i="12" s="1"/>
  <c r="L31" i="12"/>
  <c r="N31" i="12" s="1"/>
  <c r="D47" i="12"/>
  <c r="G47" i="12" s="1"/>
  <c r="G546" i="12"/>
  <c r="G169" i="12"/>
  <c r="D168" i="12"/>
  <c r="G168" i="12" s="1"/>
  <c r="F488" i="12"/>
  <c r="H488" i="12" s="1"/>
  <c r="F569" i="12"/>
  <c r="H569" i="12" s="1"/>
  <c r="Y6" i="12"/>
  <c r="G178" i="12"/>
  <c r="AF6" i="12"/>
  <c r="G302" i="12"/>
  <c r="D295" i="12"/>
  <c r="G295" i="12" s="1"/>
  <c r="G291" i="12"/>
  <c r="D287" i="12"/>
  <c r="G287" i="12" s="1"/>
  <c r="G571" i="12"/>
  <c r="G274" i="12"/>
  <c r="F461" i="12"/>
  <c r="H461" i="12" s="1"/>
  <c r="H336" i="12"/>
  <c r="F335" i="12"/>
  <c r="H335" i="12" s="1"/>
  <c r="G336" i="12"/>
  <c r="H7" i="12"/>
  <c r="G582" i="12"/>
  <c r="D581" i="12"/>
  <c r="G581" i="12" s="1"/>
  <c r="G477" i="12"/>
  <c r="Z6" i="12"/>
  <c r="G611" i="12"/>
  <c r="D610" i="12"/>
  <c r="G610" i="12" s="1"/>
  <c r="D624" i="12"/>
  <c r="G624" i="12" s="1"/>
  <c r="M438" i="12"/>
  <c r="D438" i="12"/>
  <c r="M533" i="12"/>
  <c r="H644" i="12"/>
  <c r="G441" i="12"/>
  <c r="G8" i="12"/>
  <c r="D7" i="12"/>
  <c r="G326" i="12"/>
  <c r="D321" i="12"/>
  <c r="G321" i="12" s="1"/>
  <c r="G144" i="12"/>
  <c r="D143" i="12"/>
  <c r="G143" i="12" s="1"/>
  <c r="G350" i="12"/>
  <c r="D348" i="12"/>
  <c r="G348" i="12" s="1"/>
  <c r="M532" i="12"/>
  <c r="D532" i="12"/>
  <c r="L7" i="12"/>
  <c r="N7" i="12" s="1"/>
  <c r="X6" i="12"/>
  <c r="G341" i="12"/>
  <c r="J295" i="12"/>
  <c r="M295" i="12" s="1"/>
  <c r="G535" i="12"/>
  <c r="D533" i="12"/>
  <c r="G463" i="12"/>
  <c r="D461" i="12"/>
  <c r="L404" i="12"/>
  <c r="N404" i="12" s="1"/>
  <c r="G605" i="12"/>
  <c r="D103" i="12"/>
  <c r="G103" i="12" s="1"/>
  <c r="G104" i="12"/>
  <c r="H561" i="12"/>
  <c r="G561" i="12"/>
  <c r="H195" i="12"/>
  <c r="G195" i="12"/>
  <c r="D589" i="12"/>
  <c r="G589" i="12" s="1"/>
  <c r="G590" i="12"/>
  <c r="G602" i="12"/>
  <c r="D601" i="12"/>
  <c r="G601" i="12" s="1"/>
  <c r="J31" i="12"/>
  <c r="H79" i="12"/>
  <c r="G508" i="12"/>
  <c r="D507" i="12"/>
  <c r="M322" i="12"/>
  <c r="J321" i="12"/>
  <c r="M321" i="12" s="1"/>
  <c r="D357" i="12"/>
  <c r="M357" i="12"/>
  <c r="M110" i="12" l="1"/>
  <c r="G119" i="12"/>
  <c r="D125" i="12"/>
  <c r="G125" i="12" s="1"/>
  <c r="M569" i="12"/>
  <c r="G533" i="12"/>
  <c r="D453" i="12"/>
  <c r="G454" i="12"/>
  <c r="G461" i="12"/>
  <c r="F6" i="12"/>
  <c r="H6" i="12" s="1"/>
  <c r="O6" i="12"/>
  <c r="J6" i="12" s="1"/>
  <c r="J4" i="12" s="1"/>
  <c r="M31" i="12"/>
  <c r="D111" i="12"/>
  <c r="L6" i="12"/>
  <c r="N6" i="12" s="1"/>
  <c r="M7" i="12"/>
  <c r="D31" i="12"/>
  <c r="G31" i="12" s="1"/>
  <c r="D603" i="12"/>
  <c r="G603" i="12" s="1"/>
  <c r="M404" i="12"/>
  <c r="D355" i="12"/>
  <c r="G355" i="12" s="1"/>
  <c r="G357" i="12"/>
  <c r="G532" i="12"/>
  <c r="D531" i="12"/>
  <c r="G531" i="12" s="1"/>
  <c r="G438" i="12"/>
  <c r="D437" i="12"/>
  <c r="G7" i="12"/>
  <c r="D272" i="12"/>
  <c r="G272" i="12" s="1"/>
  <c r="G507" i="12"/>
  <c r="D569" i="12"/>
  <c r="G569" i="12" s="1"/>
  <c r="D110" i="12" l="1"/>
  <c r="G110" i="12" s="1"/>
  <c r="F4" i="12"/>
  <c r="G453" i="12"/>
  <c r="D439" i="12"/>
  <c r="G439" i="12" s="1"/>
  <c r="G111" i="12"/>
  <c r="D488" i="12"/>
  <c r="G488" i="12" s="1"/>
  <c r="M6" i="12"/>
  <c r="L4" i="12"/>
  <c r="L5" i="12"/>
  <c r="D335" i="12"/>
  <c r="G335" i="12" s="1"/>
  <c r="G437" i="12"/>
  <c r="D404" i="12"/>
  <c r="G404" i="12" l="1"/>
  <c r="D6" i="12"/>
  <c r="G6" i="12" l="1"/>
  <c r="D4" i="12"/>
  <c r="J5" i="12"/>
  <c r="AU399" i="6" l="1"/>
  <c r="AT58" i="6"/>
  <c r="AS395" i="6"/>
  <c r="AS399" i="6"/>
  <c r="AF556" i="6" l="1"/>
  <c r="AE556" i="6" s="1"/>
  <c r="AI555" i="6"/>
  <c r="AJ555" i="6"/>
  <c r="AK555" i="6"/>
  <c r="AL555" i="6"/>
  <c r="AM555" i="6"/>
  <c r="AN555" i="6"/>
  <c r="AO555" i="6"/>
  <c r="AP555" i="6"/>
  <c r="AQ555" i="6"/>
  <c r="AR555" i="6"/>
  <c r="AG555" i="6"/>
  <c r="S556" i="6"/>
  <c r="S539" i="6"/>
  <c r="AF539" i="6"/>
  <c r="AE539" i="6" s="1"/>
  <c r="AI538" i="6"/>
  <c r="AJ538" i="6"/>
  <c r="AK538" i="6"/>
  <c r="AL538" i="6"/>
  <c r="AM538" i="6"/>
  <c r="AN538" i="6"/>
  <c r="AO538" i="6"/>
  <c r="AP538" i="6"/>
  <c r="AQ538" i="6"/>
  <c r="AR538" i="6"/>
  <c r="AG538" i="6"/>
  <c r="AF526" i="6"/>
  <c r="AE526" i="6" s="1"/>
  <c r="AH524" i="6"/>
  <c r="AI524" i="6"/>
  <c r="AJ524" i="6"/>
  <c r="AK524" i="6"/>
  <c r="AL524" i="6"/>
  <c r="AM524" i="6"/>
  <c r="AN524" i="6"/>
  <c r="AO524" i="6"/>
  <c r="AG524" i="6"/>
  <c r="T526" i="6"/>
  <c r="S526" i="6" s="1"/>
  <c r="AF491" i="6"/>
  <c r="AE491" i="6" s="1"/>
  <c r="AH488" i="6"/>
  <c r="AI488" i="6"/>
  <c r="AJ488" i="6"/>
  <c r="AK488" i="6"/>
  <c r="AL488" i="6"/>
  <c r="AM488" i="6"/>
  <c r="AN488" i="6"/>
  <c r="AO488" i="6"/>
  <c r="AG488" i="6"/>
  <c r="AD488" i="6"/>
  <c r="T491" i="6"/>
  <c r="T462" i="6"/>
  <c r="S462" i="6" s="1"/>
  <c r="T463" i="6"/>
  <c r="S463" i="6" s="1"/>
  <c r="AF455" i="6"/>
  <c r="AE455" i="6" s="1"/>
  <c r="AF456" i="6"/>
  <c r="AE456" i="6" s="1"/>
  <c r="AF457" i="6"/>
  <c r="AE457" i="6" s="1"/>
  <c r="AH451" i="6"/>
  <c r="AI451" i="6"/>
  <c r="AJ451" i="6"/>
  <c r="AK451" i="6"/>
  <c r="AL451" i="6"/>
  <c r="AM451" i="6"/>
  <c r="AN451" i="6"/>
  <c r="AO451" i="6"/>
  <c r="AG451" i="6"/>
  <c r="T455" i="6"/>
  <c r="S455" i="6" s="1"/>
  <c r="T456" i="6"/>
  <c r="S456" i="6" s="1"/>
  <c r="T457" i="6"/>
  <c r="S457" i="6" s="1"/>
  <c r="AF404" i="6"/>
  <c r="AE404" i="6" s="1"/>
  <c r="T404" i="6"/>
  <c r="S404" i="6" s="1"/>
  <c r="AH398" i="6"/>
  <c r="AI398" i="6"/>
  <c r="AJ398" i="6"/>
  <c r="AK398" i="6"/>
  <c r="AL398" i="6"/>
  <c r="AM398" i="6"/>
  <c r="AN398" i="6"/>
  <c r="AO398" i="6"/>
  <c r="AG398" i="6"/>
  <c r="AH378" i="6"/>
  <c r="AI378" i="6"/>
  <c r="AJ378" i="6"/>
  <c r="AK378" i="6"/>
  <c r="AL378" i="6"/>
  <c r="AM378" i="6"/>
  <c r="AN378" i="6"/>
  <c r="AO378" i="6"/>
  <c r="AP378" i="6"/>
  <c r="AQ378" i="6"/>
  <c r="AR378" i="6"/>
  <c r="AG378" i="6"/>
  <c r="AD378" i="6"/>
  <c r="T272" i="6"/>
  <c r="S272" i="6" s="1"/>
  <c r="S274" i="6"/>
  <c r="V269" i="6"/>
  <c r="W269" i="6"/>
  <c r="X269" i="6"/>
  <c r="Y269" i="6"/>
  <c r="Z269" i="6"/>
  <c r="AA269" i="6"/>
  <c r="AB269" i="6"/>
  <c r="AC269" i="6"/>
  <c r="R269" i="6"/>
  <c r="AF205" i="6"/>
  <c r="AE205" i="6" s="1"/>
  <c r="AF206" i="6"/>
  <c r="AE206" i="6" s="1"/>
  <c r="AF207" i="6"/>
  <c r="AE207" i="6" s="1"/>
  <c r="AF208" i="6"/>
  <c r="AE208" i="6" s="1"/>
  <c r="AF209" i="6"/>
  <c r="AE209" i="6" s="1"/>
  <c r="T205" i="6"/>
  <c r="S205" i="6" s="1"/>
  <c r="T206" i="6"/>
  <c r="S206" i="6" s="1"/>
  <c r="T207" i="6"/>
  <c r="S207" i="6" s="1"/>
  <c r="T208" i="6"/>
  <c r="S208" i="6" s="1"/>
  <c r="T209" i="6"/>
  <c r="S209" i="6" s="1"/>
  <c r="AH199" i="6"/>
  <c r="AI199" i="6"/>
  <c r="AJ199" i="6"/>
  <c r="AK199" i="6"/>
  <c r="AL199" i="6"/>
  <c r="AM199" i="6"/>
  <c r="AN199" i="6"/>
  <c r="AO199" i="6"/>
  <c r="AG199" i="6"/>
  <c r="AF214" i="6"/>
  <c r="AE214" i="6" s="1"/>
  <c r="AH210" i="6"/>
  <c r="AI210" i="6"/>
  <c r="AJ210" i="6"/>
  <c r="AK210" i="6"/>
  <c r="AL210" i="6"/>
  <c r="AM210" i="6"/>
  <c r="AN210" i="6"/>
  <c r="AO210" i="6"/>
  <c r="AG210" i="6"/>
  <c r="T181" i="6"/>
  <c r="S181" i="6" s="1"/>
  <c r="AH175" i="6"/>
  <c r="AI175" i="6"/>
  <c r="AJ175" i="6"/>
  <c r="AK175" i="6"/>
  <c r="AL175" i="6"/>
  <c r="AM175" i="6"/>
  <c r="AN175" i="6"/>
  <c r="AO175" i="6"/>
  <c r="AG175" i="6"/>
  <c r="T85" i="6"/>
  <c r="S85" i="6" s="1"/>
  <c r="V84" i="6"/>
  <c r="W84" i="6"/>
  <c r="X84" i="6"/>
  <c r="Y84" i="6"/>
  <c r="Z84" i="6"/>
  <c r="AA84" i="6"/>
  <c r="AB84" i="6"/>
  <c r="AC84" i="6"/>
  <c r="U84" i="6"/>
  <c r="R84" i="6"/>
  <c r="AH80" i="6"/>
  <c r="AI80" i="6"/>
  <c r="AJ80" i="6"/>
  <c r="AK80" i="6"/>
  <c r="AL80" i="6"/>
  <c r="AM80" i="6"/>
  <c r="AN80" i="6"/>
  <c r="AO80" i="6"/>
  <c r="AG80" i="6"/>
  <c r="AH84" i="6"/>
  <c r="AI84" i="6"/>
  <c r="AJ84" i="6"/>
  <c r="AK84" i="6"/>
  <c r="AL84" i="6"/>
  <c r="AM84" i="6"/>
  <c r="AN84" i="6"/>
  <c r="AO84" i="6"/>
  <c r="AG84" i="6"/>
  <c r="AD84" i="6"/>
  <c r="T84" i="6" l="1"/>
  <c r="S84" i="6" s="1"/>
  <c r="AI466" i="6"/>
  <c r="W555" i="6" l="1"/>
  <c r="X555" i="6"/>
  <c r="Y555" i="6"/>
  <c r="Z555" i="6"/>
  <c r="AA555" i="6"/>
  <c r="AB555" i="6"/>
  <c r="AC555" i="6"/>
  <c r="U555" i="6"/>
  <c r="R555" i="6"/>
  <c r="W538" i="6"/>
  <c r="X538" i="6"/>
  <c r="Y538" i="6"/>
  <c r="Z538" i="6"/>
  <c r="AA538" i="6"/>
  <c r="AB538" i="6"/>
  <c r="AC538" i="6"/>
  <c r="U538" i="6"/>
  <c r="R538" i="6"/>
  <c r="V524" i="6"/>
  <c r="W524" i="6"/>
  <c r="X524" i="6"/>
  <c r="Y524" i="6"/>
  <c r="Z524" i="6"/>
  <c r="AA524" i="6"/>
  <c r="AB524" i="6"/>
  <c r="AC524" i="6"/>
  <c r="U524" i="6"/>
  <c r="V488" i="6"/>
  <c r="W488" i="6"/>
  <c r="X488" i="6"/>
  <c r="Y488" i="6"/>
  <c r="Z488" i="6"/>
  <c r="AA488" i="6"/>
  <c r="AB488" i="6"/>
  <c r="AC488" i="6"/>
  <c r="U488" i="6"/>
  <c r="V451" i="6"/>
  <c r="X451" i="6"/>
  <c r="Y451" i="6"/>
  <c r="Z451" i="6"/>
  <c r="AA451" i="6"/>
  <c r="AB451" i="6"/>
  <c r="AC451" i="6"/>
  <c r="U451" i="6"/>
  <c r="R451" i="6"/>
  <c r="V446" i="6"/>
  <c r="W446" i="6"/>
  <c r="X446" i="6"/>
  <c r="Y446" i="6"/>
  <c r="Z446" i="6"/>
  <c r="AA446" i="6"/>
  <c r="AB446" i="6"/>
  <c r="AC446" i="6"/>
  <c r="U446" i="6"/>
  <c r="V458" i="6"/>
  <c r="W458" i="6"/>
  <c r="X458" i="6"/>
  <c r="Y458" i="6"/>
  <c r="Z458" i="6"/>
  <c r="AA458" i="6"/>
  <c r="AB458" i="6"/>
  <c r="AC458" i="6"/>
  <c r="U458" i="6"/>
  <c r="V398" i="6"/>
  <c r="W398" i="6"/>
  <c r="X398" i="6"/>
  <c r="Y398" i="6"/>
  <c r="Z398" i="6"/>
  <c r="AA398" i="6"/>
  <c r="AB398" i="6"/>
  <c r="AC398" i="6"/>
  <c r="U398" i="6"/>
  <c r="R398" i="6"/>
  <c r="V378" i="6"/>
  <c r="W378" i="6"/>
  <c r="X378" i="6"/>
  <c r="Y378" i="6"/>
  <c r="Z378" i="6"/>
  <c r="AA378" i="6"/>
  <c r="AB378" i="6"/>
  <c r="AC378" i="6"/>
  <c r="U378" i="6"/>
  <c r="V210" i="6"/>
  <c r="W210" i="6"/>
  <c r="X210" i="6"/>
  <c r="Y210" i="6"/>
  <c r="Z210" i="6"/>
  <c r="AA210" i="6"/>
  <c r="AB210" i="6"/>
  <c r="AC210" i="6"/>
  <c r="U210" i="6"/>
  <c r="V199" i="6"/>
  <c r="W199" i="6"/>
  <c r="X199" i="6"/>
  <c r="Y199" i="6"/>
  <c r="Z199" i="6"/>
  <c r="AA199" i="6"/>
  <c r="AB199" i="6"/>
  <c r="AC199" i="6"/>
  <c r="U199" i="6"/>
  <c r="W189" i="6"/>
  <c r="X189" i="6"/>
  <c r="Y189" i="6"/>
  <c r="Z189" i="6"/>
  <c r="AA189" i="6"/>
  <c r="AB189" i="6"/>
  <c r="AC189" i="6"/>
  <c r="U189" i="6"/>
  <c r="R189" i="6"/>
  <c r="AE192" i="6"/>
  <c r="V175" i="6"/>
  <c r="W175" i="6"/>
  <c r="X175" i="6"/>
  <c r="Y175" i="6"/>
  <c r="Z175" i="6"/>
  <c r="AA175" i="6"/>
  <c r="AB175" i="6"/>
  <c r="AC175" i="6"/>
  <c r="U175" i="6"/>
  <c r="R175" i="6"/>
  <c r="W324" i="4" l="1"/>
  <c r="W455" i="4"/>
  <c r="Y439" i="6" l="1"/>
  <c r="Y435" i="6"/>
  <c r="T435" i="6" s="1"/>
  <c r="Y432" i="6"/>
  <c r="T432" i="6" s="1"/>
  <c r="Y429" i="6"/>
  <c r="T429" i="6" s="1"/>
  <c r="Y428" i="6"/>
  <c r="Y427" i="6"/>
  <c r="Y426" i="6"/>
  <c r="Y423" i="6"/>
  <c r="T423" i="6" s="1"/>
  <c r="Y422" i="6"/>
  <c r="Y420" i="6"/>
  <c r="Y413" i="6" s="1"/>
  <c r="Y412" i="6"/>
  <c r="T412" i="6" s="1"/>
  <c r="W328" i="6"/>
  <c r="T328" i="6" s="1"/>
  <c r="W327" i="6"/>
  <c r="W326" i="6"/>
  <c r="T326" i="6" s="1"/>
  <c r="W325" i="6"/>
  <c r="T325" i="6" s="1"/>
  <c r="W324" i="6"/>
  <c r="T324" i="6" s="1"/>
  <c r="W323" i="6"/>
  <c r="W322" i="6"/>
  <c r="T322" i="6" s="1"/>
  <c r="W321" i="6"/>
  <c r="T321" i="6" s="1"/>
  <c r="W320" i="6"/>
  <c r="T320" i="6" s="1"/>
  <c r="W319" i="6"/>
  <c r="W318" i="6"/>
  <c r="T318" i="6" s="1"/>
  <c r="W317" i="6"/>
  <c r="T317" i="6" s="1"/>
  <c r="W361" i="6"/>
  <c r="W360" i="6" s="1"/>
  <c r="W353" i="6"/>
  <c r="W351" i="6"/>
  <c r="W350" i="6"/>
  <c r="T350" i="6" s="1"/>
  <c r="W349" i="6"/>
  <c r="T349" i="6" s="1"/>
  <c r="W348" i="6"/>
  <c r="W346" i="6"/>
  <c r="T346" i="6" s="1"/>
  <c r="W345" i="6"/>
  <c r="T345" i="6" s="1"/>
  <c r="W344" i="6"/>
  <c r="T344" i="6" s="1"/>
  <c r="W343" i="6"/>
  <c r="T343" i="6" s="1"/>
  <c r="W342" i="6"/>
  <c r="T342" i="6" s="1"/>
  <c r="W341" i="6"/>
  <c r="T341" i="6" s="1"/>
  <c r="W493" i="6"/>
  <c r="W492" i="6" s="1"/>
  <c r="W484" i="6"/>
  <c r="W483" i="6"/>
  <c r="W480" i="6"/>
  <c r="W477" i="6"/>
  <c r="W476" i="6" s="1"/>
  <c r="R312" i="6"/>
  <c r="U13" i="6"/>
  <c r="T13" i="6" s="1"/>
  <c r="U11" i="6"/>
  <c r="T11" i="6" s="1"/>
  <c r="U9" i="6"/>
  <c r="T9" i="6" s="1"/>
  <c r="U7" i="6"/>
  <c r="V595" i="6"/>
  <c r="V594" i="6" s="1"/>
  <c r="AC594" i="6"/>
  <c r="AB594" i="6"/>
  <c r="AA594" i="6"/>
  <c r="Z594" i="6"/>
  <c r="Y594" i="6"/>
  <c r="X594" i="6"/>
  <c r="W594" i="6"/>
  <c r="U594" i="6"/>
  <c r="R594" i="6"/>
  <c r="T593" i="6"/>
  <c r="R593" i="6"/>
  <c r="T592" i="6"/>
  <c r="U591" i="6"/>
  <c r="AC590" i="6"/>
  <c r="AB590" i="6"/>
  <c r="AA590" i="6"/>
  <c r="Z590" i="6"/>
  <c r="Y590" i="6"/>
  <c r="X590" i="6"/>
  <c r="W590" i="6"/>
  <c r="V590" i="6"/>
  <c r="V589" i="6"/>
  <c r="T589" i="6" s="1"/>
  <c r="S589" i="6" s="1"/>
  <c r="T588" i="6"/>
  <c r="V587" i="6"/>
  <c r="T587" i="6" s="1"/>
  <c r="V586" i="6"/>
  <c r="T586" i="6" s="1"/>
  <c r="V585" i="6"/>
  <c r="T585" i="6" s="1"/>
  <c r="V584" i="6"/>
  <c r="T584" i="6" s="1"/>
  <c r="V583" i="6"/>
  <c r="T583" i="6" s="1"/>
  <c r="V582" i="6"/>
  <c r="T582" i="6" s="1"/>
  <c r="V581" i="6"/>
  <c r="T581" i="6" s="1"/>
  <c r="V580" i="6"/>
  <c r="T580" i="6" s="1"/>
  <c r="V579" i="6"/>
  <c r="T579" i="6" s="1"/>
  <c r="V578" i="6"/>
  <c r="T578" i="6" s="1"/>
  <c r="V577" i="6"/>
  <c r="T577" i="6" s="1"/>
  <c r="V576" i="6"/>
  <c r="T576" i="6" s="1"/>
  <c r="V575" i="6"/>
  <c r="T575" i="6" s="1"/>
  <c r="V574" i="6"/>
  <c r="T574" i="6" s="1"/>
  <c r="V573" i="6"/>
  <c r="T573" i="6" s="1"/>
  <c r="V572" i="6"/>
  <c r="T572" i="6" s="1"/>
  <c r="V571" i="6"/>
  <c r="T571" i="6" s="1"/>
  <c r="V570" i="6"/>
  <c r="T570" i="6" s="1"/>
  <c r="V569" i="6"/>
  <c r="T569" i="6" s="1"/>
  <c r="V568" i="6"/>
  <c r="T568" i="6" s="1"/>
  <c r="V567" i="6"/>
  <c r="T567" i="6" s="1"/>
  <c r="V566" i="6"/>
  <c r="T566" i="6" s="1"/>
  <c r="V565" i="6"/>
  <c r="T565" i="6" s="1"/>
  <c r="V564" i="6"/>
  <c r="T564" i="6" s="1"/>
  <c r="S564" i="6" s="1"/>
  <c r="V563" i="6"/>
  <c r="T563" i="6" s="1"/>
  <c r="V562" i="6"/>
  <c r="T562" i="6" s="1"/>
  <c r="V561" i="6"/>
  <c r="T561" i="6" s="1"/>
  <c r="V560" i="6"/>
  <c r="T560" i="6" s="1"/>
  <c r="S560" i="6" s="1"/>
  <c r="V559" i="6"/>
  <c r="T559" i="6" s="1"/>
  <c r="V558" i="6"/>
  <c r="T558" i="6" s="1"/>
  <c r="V557" i="6"/>
  <c r="T554" i="6"/>
  <c r="S554" i="6" s="1"/>
  <c r="V553" i="6"/>
  <c r="T553" i="6" s="1"/>
  <c r="S553" i="6" s="1"/>
  <c r="V552" i="6"/>
  <c r="T552" i="6" s="1"/>
  <c r="S552" i="6" s="1"/>
  <c r="V551" i="6"/>
  <c r="T551" i="6" s="1"/>
  <c r="V550" i="6"/>
  <c r="T550" i="6" s="1"/>
  <c r="S550" i="6" s="1"/>
  <c r="V549" i="6"/>
  <c r="T549" i="6" s="1"/>
  <c r="S549" i="6" s="1"/>
  <c r="V548" i="6"/>
  <c r="T548" i="6" s="1"/>
  <c r="V547" i="6"/>
  <c r="T547" i="6" s="1"/>
  <c r="V546" i="6"/>
  <c r="T546" i="6" s="1"/>
  <c r="V545" i="6"/>
  <c r="T545" i="6" s="1"/>
  <c r="S545" i="6" s="1"/>
  <c r="V544" i="6"/>
  <c r="T544" i="6" s="1"/>
  <c r="V543" i="6"/>
  <c r="V542" i="6"/>
  <c r="T542" i="6" s="1"/>
  <c r="S542" i="6" s="1"/>
  <c r="V541" i="6"/>
  <c r="T541" i="6" s="1"/>
  <c r="V540" i="6"/>
  <c r="T537" i="6"/>
  <c r="R537" i="6"/>
  <c r="T536" i="6"/>
  <c r="T535" i="6"/>
  <c r="T534" i="6"/>
  <c r="S534" i="6" s="1"/>
  <c r="AC533" i="6"/>
  <c r="AB533" i="6"/>
  <c r="AA533" i="6"/>
  <c r="Z533" i="6"/>
  <c r="Y533" i="6"/>
  <c r="X533" i="6"/>
  <c r="W533" i="6"/>
  <c r="V533" i="6"/>
  <c r="U533" i="6"/>
  <c r="T531" i="6"/>
  <c r="AC530" i="6"/>
  <c r="AB530" i="6"/>
  <c r="AA530" i="6"/>
  <c r="Z530" i="6"/>
  <c r="Y530" i="6"/>
  <c r="X530" i="6"/>
  <c r="W530" i="6"/>
  <c r="V530" i="6"/>
  <c r="U530" i="6"/>
  <c r="R530" i="6"/>
  <c r="T529" i="6"/>
  <c r="R529" i="6"/>
  <c r="R527" i="6" s="1"/>
  <c r="U528" i="6"/>
  <c r="AC527" i="6"/>
  <c r="AB527" i="6"/>
  <c r="AA527" i="6"/>
  <c r="Z527" i="6"/>
  <c r="Y527" i="6"/>
  <c r="X527" i="6"/>
  <c r="W527" i="6"/>
  <c r="V527" i="6"/>
  <c r="T525" i="6"/>
  <c r="R525" i="6"/>
  <c r="R524" i="6" s="1"/>
  <c r="T523" i="6"/>
  <c r="R523" i="6"/>
  <c r="T522" i="6"/>
  <c r="V521" i="6"/>
  <c r="AC520" i="6"/>
  <c r="AB520" i="6"/>
  <c r="AA520" i="6"/>
  <c r="Z520" i="6"/>
  <c r="Y520" i="6"/>
  <c r="X520" i="6"/>
  <c r="W520" i="6"/>
  <c r="U520" i="6"/>
  <c r="T519" i="6"/>
  <c r="S519" i="6" s="1"/>
  <c r="T518" i="6"/>
  <c r="T517" i="6"/>
  <c r="T516" i="6"/>
  <c r="AC515" i="6"/>
  <c r="AB515" i="6"/>
  <c r="AA515" i="6"/>
  <c r="Z515" i="6"/>
  <c r="Y515" i="6"/>
  <c r="X515" i="6"/>
  <c r="W515" i="6"/>
  <c r="V515" i="6"/>
  <c r="U515" i="6"/>
  <c r="R515" i="6"/>
  <c r="T513" i="6"/>
  <c r="R512" i="6"/>
  <c r="AC512" i="6"/>
  <c r="AB512" i="6"/>
  <c r="AA512" i="6"/>
  <c r="Z512" i="6"/>
  <c r="Y512" i="6"/>
  <c r="X512" i="6"/>
  <c r="W512" i="6"/>
  <c r="V512" i="6"/>
  <c r="U512" i="6"/>
  <c r="T511" i="6"/>
  <c r="T510" i="6"/>
  <c r="T509" i="6"/>
  <c r="T508" i="6"/>
  <c r="AC507" i="6"/>
  <c r="AB507" i="6"/>
  <c r="AA507" i="6"/>
  <c r="Z507" i="6"/>
  <c r="Y507" i="6"/>
  <c r="X507" i="6"/>
  <c r="W507" i="6"/>
  <c r="V507" i="6"/>
  <c r="U507" i="6"/>
  <c r="R507" i="6"/>
  <c r="T506" i="6"/>
  <c r="R506" i="6"/>
  <c r="R504" i="6" s="1"/>
  <c r="T505" i="6"/>
  <c r="AC504" i="6"/>
  <c r="AB504" i="6"/>
  <c r="AA504" i="6"/>
  <c r="Z504" i="6"/>
  <c r="Y504" i="6"/>
  <c r="X504" i="6"/>
  <c r="W504" i="6"/>
  <c r="V504" i="6"/>
  <c r="U504" i="6"/>
  <c r="T503" i="6"/>
  <c r="S503" i="6" s="1"/>
  <c r="T502" i="6"/>
  <c r="R500" i="6"/>
  <c r="T501" i="6"/>
  <c r="AC500" i="6"/>
  <c r="AB500" i="6"/>
  <c r="AA500" i="6"/>
  <c r="Z500" i="6"/>
  <c r="Y500" i="6"/>
  <c r="X500" i="6"/>
  <c r="W500" i="6"/>
  <c r="V500" i="6"/>
  <c r="U500" i="6"/>
  <c r="T499" i="6"/>
  <c r="T498" i="6"/>
  <c r="T497" i="6"/>
  <c r="R495" i="6"/>
  <c r="T496" i="6"/>
  <c r="AC495" i="6"/>
  <c r="AB495" i="6"/>
  <c r="AA495" i="6"/>
  <c r="Z495" i="6"/>
  <c r="Y495" i="6"/>
  <c r="X495" i="6"/>
  <c r="W495" i="6"/>
  <c r="V495" i="6"/>
  <c r="U495" i="6"/>
  <c r="X493" i="6"/>
  <c r="X492" i="6" s="1"/>
  <c r="R492" i="6"/>
  <c r="AC492" i="6"/>
  <c r="AB492" i="6"/>
  <c r="AA492" i="6"/>
  <c r="Z492" i="6"/>
  <c r="Y492" i="6"/>
  <c r="V492" i="6"/>
  <c r="U492" i="6"/>
  <c r="T490" i="6"/>
  <c r="R490" i="6"/>
  <c r="R488" i="6" s="1"/>
  <c r="T489" i="6"/>
  <c r="T487" i="6"/>
  <c r="S487" i="6" s="1"/>
  <c r="T486" i="6"/>
  <c r="T485" i="6"/>
  <c r="X484" i="6"/>
  <c r="T484" i="6" s="1"/>
  <c r="R482" i="6"/>
  <c r="V483" i="6"/>
  <c r="AC482" i="6"/>
  <c r="AB482" i="6"/>
  <c r="AA482" i="6"/>
  <c r="Z482" i="6"/>
  <c r="Y482" i="6"/>
  <c r="U482" i="6"/>
  <c r="T481" i="6"/>
  <c r="R481" i="6"/>
  <c r="R479" i="6" s="1"/>
  <c r="X480" i="6"/>
  <c r="X479" i="6" s="1"/>
  <c r="AC479" i="6"/>
  <c r="AB479" i="6"/>
  <c r="AA479" i="6"/>
  <c r="Z479" i="6"/>
  <c r="Y479" i="6"/>
  <c r="V479" i="6"/>
  <c r="U479" i="6"/>
  <c r="T478" i="6"/>
  <c r="R478" i="6"/>
  <c r="R476" i="6" s="1"/>
  <c r="X477" i="6"/>
  <c r="X476" i="6" s="1"/>
  <c r="V477" i="6"/>
  <c r="V476" i="6" s="1"/>
  <c r="AC476" i="6"/>
  <c r="AB476" i="6"/>
  <c r="AA476" i="6"/>
  <c r="Z476" i="6"/>
  <c r="Y476" i="6"/>
  <c r="U476" i="6"/>
  <c r="V475" i="6"/>
  <c r="T475" i="6" s="1"/>
  <c r="V474" i="6"/>
  <c r="T474" i="6" s="1"/>
  <c r="V473" i="6"/>
  <c r="AC472" i="6"/>
  <c r="AB472" i="6"/>
  <c r="AA472" i="6"/>
  <c r="Z472" i="6"/>
  <c r="Y472" i="6"/>
  <c r="X472" i="6"/>
  <c r="W472" i="6"/>
  <c r="U472" i="6"/>
  <c r="U471" i="6"/>
  <c r="T470" i="6"/>
  <c r="T469" i="6"/>
  <c r="T468" i="6"/>
  <c r="AC467" i="6"/>
  <c r="AB467" i="6"/>
  <c r="AA467" i="6"/>
  <c r="Z467" i="6"/>
  <c r="Y467" i="6"/>
  <c r="X467" i="6"/>
  <c r="W467" i="6"/>
  <c r="V467" i="6"/>
  <c r="R467" i="6"/>
  <c r="T465" i="6"/>
  <c r="R464" i="6"/>
  <c r="AC464" i="6"/>
  <c r="AB464" i="6"/>
  <c r="AA464" i="6"/>
  <c r="Z464" i="6"/>
  <c r="Y464" i="6"/>
  <c r="X464" i="6"/>
  <c r="W464" i="6"/>
  <c r="V464" i="6"/>
  <c r="U464" i="6"/>
  <c r="T461" i="6"/>
  <c r="R461" i="6"/>
  <c r="R458" i="6" s="1"/>
  <c r="T460" i="6"/>
  <c r="T459" i="6"/>
  <c r="T454" i="6"/>
  <c r="S454" i="6" s="1"/>
  <c r="W453" i="6"/>
  <c r="W451" i="6" s="1"/>
  <c r="T452" i="6"/>
  <c r="T449" i="6"/>
  <c r="R449" i="6"/>
  <c r="R446" i="6" s="1"/>
  <c r="T448" i="6"/>
  <c r="T447" i="6"/>
  <c r="T445" i="6"/>
  <c r="R445" i="6"/>
  <c r="R441" i="6" s="1"/>
  <c r="T444" i="6"/>
  <c r="T443" i="6"/>
  <c r="T442" i="6"/>
  <c r="AC441" i="6"/>
  <c r="AB441" i="6"/>
  <c r="AA441" i="6"/>
  <c r="Z441" i="6"/>
  <c r="Y441" i="6"/>
  <c r="X441" i="6"/>
  <c r="W441" i="6"/>
  <c r="V441" i="6"/>
  <c r="U441" i="6"/>
  <c r="R438" i="6"/>
  <c r="AC438" i="6"/>
  <c r="AB438" i="6"/>
  <c r="AA438" i="6"/>
  <c r="Z438" i="6"/>
  <c r="X438" i="6"/>
  <c r="W438" i="6"/>
  <c r="V438" i="6"/>
  <c r="U438" i="6"/>
  <c r="T437" i="6"/>
  <c r="S437" i="6" s="1"/>
  <c r="T436" i="6"/>
  <c r="T434" i="6"/>
  <c r="R433" i="6"/>
  <c r="AC433" i="6"/>
  <c r="AB433" i="6"/>
  <c r="AA433" i="6"/>
  <c r="Z433" i="6"/>
  <c r="Y433" i="6"/>
  <c r="X433" i="6"/>
  <c r="W433" i="6"/>
  <c r="V433" i="6"/>
  <c r="U433" i="6"/>
  <c r="T431" i="6"/>
  <c r="T428" i="6"/>
  <c r="T427" i="6"/>
  <c r="AC425" i="6"/>
  <c r="AB425" i="6"/>
  <c r="AA425" i="6"/>
  <c r="Z425" i="6"/>
  <c r="X425" i="6"/>
  <c r="V425" i="6"/>
  <c r="U425" i="6"/>
  <c r="R425" i="6"/>
  <c r="T424" i="6"/>
  <c r="AC421" i="6"/>
  <c r="AB421" i="6"/>
  <c r="AA421" i="6"/>
  <c r="Z421" i="6"/>
  <c r="X421" i="6"/>
  <c r="V421" i="6"/>
  <c r="U421" i="6"/>
  <c r="T419" i="6"/>
  <c r="T418" i="6"/>
  <c r="T417" i="6"/>
  <c r="T416" i="6"/>
  <c r="T415" i="6"/>
  <c r="T414" i="6"/>
  <c r="AC413" i="6"/>
  <c r="AB413" i="6"/>
  <c r="AA413" i="6"/>
  <c r="Z413" i="6"/>
  <c r="X413" i="6"/>
  <c r="W413" i="6"/>
  <c r="V413" i="6"/>
  <c r="U413" i="6"/>
  <c r="R413" i="6"/>
  <c r="T411" i="6"/>
  <c r="T410" i="6"/>
  <c r="T409" i="6"/>
  <c r="R408" i="6"/>
  <c r="AC408" i="6"/>
  <c r="AB408" i="6"/>
  <c r="AA408" i="6"/>
  <c r="Z408" i="6"/>
  <c r="X408" i="6"/>
  <c r="W408" i="6"/>
  <c r="V408" i="6"/>
  <c r="U408" i="6"/>
  <c r="T406" i="6"/>
  <c r="AC405" i="6"/>
  <c r="AB405" i="6"/>
  <c r="AA405" i="6"/>
  <c r="Z405" i="6"/>
  <c r="X405" i="6"/>
  <c r="W405" i="6"/>
  <c r="V405" i="6"/>
  <c r="U405" i="6"/>
  <c r="R405" i="6"/>
  <c r="T403" i="6"/>
  <c r="S403" i="6" s="1"/>
  <c r="T402" i="6"/>
  <c r="T401" i="6"/>
  <c r="T400" i="6"/>
  <c r="T399" i="6"/>
  <c r="T397" i="6"/>
  <c r="T396" i="6"/>
  <c r="T395" i="6"/>
  <c r="AC394" i="6"/>
  <c r="AB394" i="6"/>
  <c r="AA394" i="6"/>
  <c r="Z394" i="6"/>
  <c r="Y394" i="6"/>
  <c r="X394" i="6"/>
  <c r="W394" i="6"/>
  <c r="V394" i="6"/>
  <c r="U394" i="6"/>
  <c r="R394" i="6"/>
  <c r="T393" i="6"/>
  <c r="R393" i="6"/>
  <c r="R389" i="6" s="1"/>
  <c r="T392" i="6"/>
  <c r="T391" i="6"/>
  <c r="T390" i="6"/>
  <c r="AC389" i="6"/>
  <c r="AB389" i="6"/>
  <c r="AA389" i="6"/>
  <c r="Z389" i="6"/>
  <c r="Y389" i="6"/>
  <c r="X389" i="6"/>
  <c r="W389" i="6"/>
  <c r="V389" i="6"/>
  <c r="U389" i="6"/>
  <c r="R388" i="6"/>
  <c r="U388" i="6" s="1"/>
  <c r="T387" i="6"/>
  <c r="T386" i="6"/>
  <c r="T385" i="6"/>
  <c r="AC384" i="6"/>
  <c r="AB384" i="6"/>
  <c r="AA384" i="6"/>
  <c r="Z384" i="6"/>
  <c r="Y384" i="6"/>
  <c r="X384" i="6"/>
  <c r="W384" i="6"/>
  <c r="V384" i="6"/>
  <c r="X382" i="6"/>
  <c r="X381" i="6" s="1"/>
  <c r="R381" i="6"/>
  <c r="AC381" i="6"/>
  <c r="AB381" i="6"/>
  <c r="AA381" i="6"/>
  <c r="Z381" i="6"/>
  <c r="Y381" i="6"/>
  <c r="V381" i="6"/>
  <c r="U381" i="6"/>
  <c r="T379" i="6"/>
  <c r="R379" i="6"/>
  <c r="R378" i="6" s="1"/>
  <c r="T378" i="6"/>
  <c r="T377" i="6"/>
  <c r="R377" i="6"/>
  <c r="R375" i="6" s="1"/>
  <c r="X376" i="6"/>
  <c r="AC375" i="6"/>
  <c r="AB375" i="6"/>
  <c r="AA375" i="6"/>
  <c r="Z375" i="6"/>
  <c r="Y375" i="6"/>
  <c r="W375" i="6"/>
  <c r="V375" i="6"/>
  <c r="U375" i="6"/>
  <c r="T374" i="6"/>
  <c r="R374" i="6"/>
  <c r="R372" i="6" s="1"/>
  <c r="X373" i="6"/>
  <c r="X372" i="6" s="1"/>
  <c r="AC372" i="6"/>
  <c r="AB372" i="6"/>
  <c r="AA372" i="6"/>
  <c r="Z372" i="6"/>
  <c r="Y372" i="6"/>
  <c r="W372" i="6"/>
  <c r="V372" i="6"/>
  <c r="U372" i="6"/>
  <c r="T371" i="6"/>
  <c r="R371" i="6"/>
  <c r="T370" i="6"/>
  <c r="R370" i="6"/>
  <c r="T369" i="6"/>
  <c r="R369" i="6"/>
  <c r="AC368" i="6"/>
  <c r="AB368" i="6"/>
  <c r="AA368" i="6"/>
  <c r="Z368" i="6"/>
  <c r="Y368" i="6"/>
  <c r="X368" i="6"/>
  <c r="W368" i="6"/>
  <c r="V368" i="6"/>
  <c r="U368" i="6"/>
  <c r="R367" i="6"/>
  <c r="U367" i="6" s="1"/>
  <c r="T366" i="6"/>
  <c r="T365" i="6"/>
  <c r="T364" i="6"/>
  <c r="AC363" i="6"/>
  <c r="AB363" i="6"/>
  <c r="AA363" i="6"/>
  <c r="Z363" i="6"/>
  <c r="Y363" i="6"/>
  <c r="X363" i="6"/>
  <c r="W363" i="6"/>
  <c r="V363" i="6"/>
  <c r="X361" i="6"/>
  <c r="X360" i="6" s="1"/>
  <c r="AC360" i="6"/>
  <c r="AB360" i="6"/>
  <c r="AA360" i="6"/>
  <c r="Z360" i="6"/>
  <c r="Y360" i="6"/>
  <c r="V360" i="6"/>
  <c r="U360" i="6"/>
  <c r="R360" i="6"/>
  <c r="S359" i="6"/>
  <c r="S358" i="6"/>
  <c r="T357" i="6"/>
  <c r="T356" i="6"/>
  <c r="T355" i="6"/>
  <c r="R352" i="6"/>
  <c r="T354" i="6"/>
  <c r="T353" i="6"/>
  <c r="AC352" i="6"/>
  <c r="AB352" i="6"/>
  <c r="AA352" i="6"/>
  <c r="Z352" i="6"/>
  <c r="Y352" i="6"/>
  <c r="X352" i="6"/>
  <c r="W352" i="6"/>
  <c r="V352" i="6"/>
  <c r="U352" i="6"/>
  <c r="T351" i="6"/>
  <c r="X348" i="6"/>
  <c r="T348" i="6" s="1"/>
  <c r="AC347" i="6"/>
  <c r="AB347" i="6"/>
  <c r="AA347" i="6"/>
  <c r="Z347" i="6"/>
  <c r="Y347" i="6"/>
  <c r="V347" i="6"/>
  <c r="U347" i="6"/>
  <c r="AC340" i="6"/>
  <c r="AB340" i="6"/>
  <c r="AA340" i="6"/>
  <c r="Z340" i="6"/>
  <c r="Y340" i="6"/>
  <c r="X340" i="6"/>
  <c r="V340" i="6"/>
  <c r="U340" i="6"/>
  <c r="R340" i="6"/>
  <c r="V339" i="6"/>
  <c r="T339" i="6" s="1"/>
  <c r="T338" i="6"/>
  <c r="T337" i="6"/>
  <c r="R335" i="6"/>
  <c r="T336" i="6"/>
  <c r="AC335" i="6"/>
  <c r="AB335" i="6"/>
  <c r="AA335" i="6"/>
  <c r="Z335" i="6"/>
  <c r="Y335" i="6"/>
  <c r="X335" i="6"/>
  <c r="W335" i="6"/>
  <c r="U335" i="6"/>
  <c r="T334" i="6"/>
  <c r="S334" i="6" s="1"/>
  <c r="T333" i="6"/>
  <c r="T332" i="6"/>
  <c r="R330" i="6"/>
  <c r="T331" i="6"/>
  <c r="AC330" i="6"/>
  <c r="AB330" i="6"/>
  <c r="AA330" i="6"/>
  <c r="Z330" i="6"/>
  <c r="Y330" i="6"/>
  <c r="X330" i="6"/>
  <c r="W330" i="6"/>
  <c r="V330" i="6"/>
  <c r="U330" i="6"/>
  <c r="T327" i="6"/>
  <c r="T323" i="6"/>
  <c r="T319" i="6"/>
  <c r="T316" i="6"/>
  <c r="S316" i="6" s="1"/>
  <c r="T315" i="6"/>
  <c r="T314" i="6"/>
  <c r="T313" i="6"/>
  <c r="AC312" i="6"/>
  <c r="AB312" i="6"/>
  <c r="AA312" i="6"/>
  <c r="Z312" i="6"/>
  <c r="Y312" i="6"/>
  <c r="X312" i="6"/>
  <c r="W312" i="6"/>
  <c r="V312" i="6"/>
  <c r="U312" i="6"/>
  <c r="T311" i="6"/>
  <c r="R311" i="6"/>
  <c r="T310" i="6"/>
  <c r="T309" i="6"/>
  <c r="AC308" i="6"/>
  <c r="AB308" i="6"/>
  <c r="AA308" i="6"/>
  <c r="Z308" i="6"/>
  <c r="Y308" i="6"/>
  <c r="X308" i="6"/>
  <c r="W308" i="6"/>
  <c r="V308" i="6"/>
  <c r="U308" i="6"/>
  <c r="T307" i="6"/>
  <c r="R307" i="6"/>
  <c r="R305" i="6" s="1"/>
  <c r="U306" i="6"/>
  <c r="U305" i="6" s="1"/>
  <c r="AC305" i="6"/>
  <c r="AB305" i="6"/>
  <c r="AA305" i="6"/>
  <c r="Z305" i="6"/>
  <c r="Y305" i="6"/>
  <c r="X305" i="6"/>
  <c r="W305" i="6"/>
  <c r="V305" i="6"/>
  <c r="T304" i="6"/>
  <c r="R304" i="6"/>
  <c r="R302" i="6" s="1"/>
  <c r="T303" i="6"/>
  <c r="AC302" i="6"/>
  <c r="AB302" i="6"/>
  <c r="AA302" i="6"/>
  <c r="Z302" i="6"/>
  <c r="Y302" i="6"/>
  <c r="X302" i="6"/>
  <c r="W302" i="6"/>
  <c r="V302" i="6"/>
  <c r="U302" i="6"/>
  <c r="T300" i="6"/>
  <c r="R300" i="6"/>
  <c r="T299" i="6"/>
  <c r="AC298" i="6"/>
  <c r="AB298" i="6"/>
  <c r="AA298" i="6"/>
  <c r="Z298" i="6"/>
  <c r="Y298" i="6"/>
  <c r="X298" i="6"/>
  <c r="W298" i="6"/>
  <c r="V298" i="6"/>
  <c r="U298" i="6"/>
  <c r="T297" i="6"/>
  <c r="T296" i="6"/>
  <c r="T295" i="6"/>
  <c r="R293" i="6"/>
  <c r="T294" i="6"/>
  <c r="AC293" i="6"/>
  <c r="AB293" i="6"/>
  <c r="AA293" i="6"/>
  <c r="Z293" i="6"/>
  <c r="Y293" i="6"/>
  <c r="X293" i="6"/>
  <c r="W293" i="6"/>
  <c r="V293" i="6"/>
  <c r="U293" i="6"/>
  <c r="T292" i="6"/>
  <c r="T291" i="6"/>
  <c r="T290" i="6"/>
  <c r="R288" i="6"/>
  <c r="T289" i="6"/>
  <c r="AC288" i="6"/>
  <c r="AB288" i="6"/>
  <c r="AA288" i="6"/>
  <c r="Z288" i="6"/>
  <c r="Y288" i="6"/>
  <c r="X288" i="6"/>
  <c r="W288" i="6"/>
  <c r="V288" i="6"/>
  <c r="U288" i="6"/>
  <c r="T287" i="6"/>
  <c r="R287" i="6"/>
  <c r="T286" i="6"/>
  <c r="AC285" i="6"/>
  <c r="AB285" i="6"/>
  <c r="AA285" i="6"/>
  <c r="Z285" i="6"/>
  <c r="Y285" i="6"/>
  <c r="X285" i="6"/>
  <c r="W285" i="6"/>
  <c r="V285" i="6"/>
  <c r="U285" i="6"/>
  <c r="T284" i="6"/>
  <c r="R281" i="6"/>
  <c r="T283" i="6"/>
  <c r="S283" i="6" s="1"/>
  <c r="T282" i="6"/>
  <c r="AC281" i="6"/>
  <c r="AB281" i="6"/>
  <c r="AA281" i="6"/>
  <c r="Z281" i="6"/>
  <c r="Y281" i="6"/>
  <c r="X281" i="6"/>
  <c r="W281" i="6"/>
  <c r="V281" i="6"/>
  <c r="U281" i="6"/>
  <c r="T280" i="6"/>
  <c r="T279" i="6"/>
  <c r="T278" i="6"/>
  <c r="S278" i="6" s="1"/>
  <c r="T277" i="6"/>
  <c r="AC276" i="6"/>
  <c r="AB276" i="6"/>
  <c r="AA276" i="6"/>
  <c r="Z276" i="6"/>
  <c r="Y276" i="6"/>
  <c r="X276" i="6"/>
  <c r="W276" i="6"/>
  <c r="V276" i="6"/>
  <c r="U276" i="6"/>
  <c r="U273" i="6"/>
  <c r="U271" i="6"/>
  <c r="T271" i="6" s="1"/>
  <c r="U270" i="6"/>
  <c r="T268" i="6"/>
  <c r="R268" i="6"/>
  <c r="R266" i="6" s="1"/>
  <c r="U267" i="6"/>
  <c r="AC266" i="6"/>
  <c r="AB266" i="6"/>
  <c r="AA266" i="6"/>
  <c r="Z266" i="6"/>
  <c r="Y266" i="6"/>
  <c r="X266" i="6"/>
  <c r="W266" i="6"/>
  <c r="V266" i="6"/>
  <c r="T265" i="6"/>
  <c r="R265" i="6"/>
  <c r="AC263" i="6"/>
  <c r="AA263" i="6"/>
  <c r="Z263" i="6"/>
  <c r="Y263" i="6"/>
  <c r="X263" i="6"/>
  <c r="W263" i="6"/>
  <c r="V263" i="6"/>
  <c r="T261" i="6"/>
  <c r="R261" i="6"/>
  <c r="T260" i="6"/>
  <c r="AC259" i="6"/>
  <c r="AB259" i="6"/>
  <c r="AA259" i="6"/>
  <c r="Z259" i="6"/>
  <c r="Y259" i="6"/>
  <c r="X259" i="6"/>
  <c r="W259" i="6"/>
  <c r="V259" i="6"/>
  <c r="U259" i="6"/>
  <c r="T258" i="6"/>
  <c r="R258" i="6"/>
  <c r="T257" i="6"/>
  <c r="R257" i="6"/>
  <c r="AC256" i="6"/>
  <c r="AB256" i="6"/>
  <c r="AA256" i="6"/>
  <c r="Z256" i="6"/>
  <c r="Y256" i="6"/>
  <c r="X256" i="6"/>
  <c r="W256" i="6"/>
  <c r="V256" i="6"/>
  <c r="U256" i="6"/>
  <c r="T255" i="6"/>
  <c r="T254" i="6"/>
  <c r="T253" i="6"/>
  <c r="T252" i="6"/>
  <c r="T251" i="6"/>
  <c r="T250" i="6"/>
  <c r="T249" i="6"/>
  <c r="T248" i="6"/>
  <c r="T247" i="6"/>
  <c r="T246" i="6"/>
  <c r="AC245" i="6"/>
  <c r="AB245" i="6"/>
  <c r="AA245" i="6"/>
  <c r="Z245" i="6"/>
  <c r="Y245" i="6"/>
  <c r="X245" i="6"/>
  <c r="W245" i="6"/>
  <c r="V245" i="6"/>
  <c r="U245" i="6"/>
  <c r="T244" i="6"/>
  <c r="R244" i="6"/>
  <c r="T243" i="6"/>
  <c r="T242" i="6"/>
  <c r="T241" i="6"/>
  <c r="T240" i="6"/>
  <c r="AC239" i="6"/>
  <c r="AB239" i="6"/>
  <c r="AA239" i="6"/>
  <c r="Z239" i="6"/>
  <c r="Y239" i="6"/>
  <c r="X239" i="6"/>
  <c r="W239" i="6"/>
  <c r="V239" i="6"/>
  <c r="U239" i="6"/>
  <c r="T237" i="6"/>
  <c r="AC236" i="6"/>
  <c r="AB236" i="6"/>
  <c r="AA236" i="6"/>
  <c r="Z236" i="6"/>
  <c r="Y236" i="6"/>
  <c r="X236" i="6"/>
  <c r="W236" i="6"/>
  <c r="V236" i="6"/>
  <c r="U236" i="6"/>
  <c r="T235" i="6"/>
  <c r="T234" i="6"/>
  <c r="T233" i="6"/>
  <c r="T232" i="6"/>
  <c r="AC231" i="6"/>
  <c r="AB231" i="6"/>
  <c r="AA231" i="6"/>
  <c r="Z231" i="6"/>
  <c r="Y231" i="6"/>
  <c r="X231" i="6"/>
  <c r="W231" i="6"/>
  <c r="V231" i="6"/>
  <c r="U231" i="6"/>
  <c r="T230" i="6"/>
  <c r="T229" i="6"/>
  <c r="T228" i="6"/>
  <c r="T227" i="6"/>
  <c r="T226" i="6"/>
  <c r="T225" i="6"/>
  <c r="T224" i="6"/>
  <c r="T223" i="6"/>
  <c r="T222" i="6"/>
  <c r="T221" i="6"/>
  <c r="T220" i="6"/>
  <c r="T219" i="6"/>
  <c r="AC218" i="6"/>
  <c r="AB218" i="6"/>
  <c r="AA218" i="6"/>
  <c r="Z218" i="6"/>
  <c r="Y218" i="6"/>
  <c r="X218" i="6"/>
  <c r="W218" i="6"/>
  <c r="V218" i="6"/>
  <c r="U218" i="6"/>
  <c r="V216" i="6"/>
  <c r="AC215" i="6"/>
  <c r="AB215" i="6"/>
  <c r="AA215" i="6"/>
  <c r="Z215" i="6"/>
  <c r="Y215" i="6"/>
  <c r="X215" i="6"/>
  <c r="W215" i="6"/>
  <c r="U215" i="6"/>
  <c r="R215" i="6"/>
  <c r="T213" i="6"/>
  <c r="R213" i="6"/>
  <c r="T212" i="6"/>
  <c r="R212" i="6"/>
  <c r="T211" i="6"/>
  <c r="R211" i="6"/>
  <c r="T204" i="6"/>
  <c r="R204" i="6"/>
  <c r="T203" i="6"/>
  <c r="R203" i="6"/>
  <c r="T202" i="6"/>
  <c r="T201" i="6"/>
  <c r="T200" i="6"/>
  <c r="T198" i="6"/>
  <c r="R198" i="6"/>
  <c r="R193" i="6" s="1"/>
  <c r="T197" i="6"/>
  <c r="T196" i="6"/>
  <c r="V195" i="6"/>
  <c r="T194" i="6"/>
  <c r="AC193" i="6"/>
  <c r="AB193" i="6"/>
  <c r="AA193" i="6"/>
  <c r="Z193" i="6"/>
  <c r="Y193" i="6"/>
  <c r="X193" i="6"/>
  <c r="W193" i="6"/>
  <c r="U193" i="6"/>
  <c r="T191" i="6"/>
  <c r="S191" i="6" s="1"/>
  <c r="V190" i="6"/>
  <c r="V189" i="6" s="1"/>
  <c r="T188" i="6"/>
  <c r="R188" i="6"/>
  <c r="R186" i="6" s="1"/>
  <c r="T187" i="6"/>
  <c r="AC186" i="6"/>
  <c r="AB186" i="6"/>
  <c r="AA186" i="6"/>
  <c r="Z186" i="6"/>
  <c r="Y186" i="6"/>
  <c r="X186" i="6"/>
  <c r="W186" i="6"/>
  <c r="V186" i="6"/>
  <c r="U186" i="6"/>
  <c r="T185" i="6"/>
  <c r="T184" i="6"/>
  <c r="T183" i="6"/>
  <c r="AC182" i="6"/>
  <c r="AB182" i="6"/>
  <c r="AA182" i="6"/>
  <c r="Z182" i="6"/>
  <c r="Y182" i="6"/>
  <c r="X182" i="6"/>
  <c r="W182" i="6"/>
  <c r="V182" i="6"/>
  <c r="U182" i="6"/>
  <c r="T180" i="6"/>
  <c r="S180" i="6" s="1"/>
  <c r="T179" i="6"/>
  <c r="T178" i="6"/>
  <c r="T177" i="6"/>
  <c r="T176" i="6"/>
  <c r="T174" i="6"/>
  <c r="T173" i="6"/>
  <c r="T172" i="6"/>
  <c r="T171" i="6"/>
  <c r="T170" i="6"/>
  <c r="AC169" i="6"/>
  <c r="AB169" i="6"/>
  <c r="AA169" i="6"/>
  <c r="Z169" i="6"/>
  <c r="Y169" i="6"/>
  <c r="X169" i="6"/>
  <c r="W169" i="6"/>
  <c r="V169" i="6"/>
  <c r="U169" i="6"/>
  <c r="T167" i="6"/>
  <c r="R167" i="6"/>
  <c r="T166" i="6"/>
  <c r="AC165" i="6"/>
  <c r="AB165" i="6"/>
  <c r="AA165" i="6"/>
  <c r="Z165" i="6"/>
  <c r="Y165" i="6"/>
  <c r="X165" i="6"/>
  <c r="W165" i="6"/>
  <c r="V165" i="6"/>
  <c r="U165" i="6"/>
  <c r="T164" i="6"/>
  <c r="V163" i="6"/>
  <c r="T162" i="6"/>
  <c r="T161" i="6"/>
  <c r="AC160" i="6"/>
  <c r="AB160" i="6"/>
  <c r="AA160" i="6"/>
  <c r="Z160" i="6"/>
  <c r="Y160" i="6"/>
  <c r="X160" i="6"/>
  <c r="W160" i="6"/>
  <c r="U160" i="6"/>
  <c r="T159" i="6"/>
  <c r="T158" i="6"/>
  <c r="T157" i="6"/>
  <c r="W155" i="6"/>
  <c r="V156" i="6"/>
  <c r="V155" i="6" s="1"/>
  <c r="R155" i="6"/>
  <c r="AC155" i="6"/>
  <c r="AB155" i="6"/>
  <c r="AA155" i="6"/>
  <c r="Z155" i="6"/>
  <c r="Y155" i="6"/>
  <c r="X155" i="6"/>
  <c r="U155" i="6"/>
  <c r="T154" i="6"/>
  <c r="R154" i="6"/>
  <c r="R152" i="6" s="1"/>
  <c r="T153" i="6"/>
  <c r="AC152" i="6"/>
  <c r="AB152" i="6"/>
  <c r="AA152" i="6"/>
  <c r="Z152" i="6"/>
  <c r="Y152" i="6"/>
  <c r="X152" i="6"/>
  <c r="W152" i="6"/>
  <c r="V152" i="6"/>
  <c r="U152" i="6"/>
  <c r="U150" i="6"/>
  <c r="T150" i="6" s="1"/>
  <c r="U149" i="6"/>
  <c r="T149" i="6" s="1"/>
  <c r="U148" i="6"/>
  <c r="T148" i="6" s="1"/>
  <c r="U147" i="6"/>
  <c r="AC146" i="6"/>
  <c r="AB146" i="6"/>
  <c r="AA146" i="6"/>
  <c r="Z146" i="6"/>
  <c r="Y146" i="6"/>
  <c r="X146" i="6"/>
  <c r="W146" i="6"/>
  <c r="V146" i="6"/>
  <c r="R146" i="6"/>
  <c r="U145" i="6"/>
  <c r="T145" i="6" s="1"/>
  <c r="U144" i="6"/>
  <c r="T144" i="6" s="1"/>
  <c r="U143" i="6"/>
  <c r="T143" i="6" s="1"/>
  <c r="U142" i="6"/>
  <c r="AC141" i="6"/>
  <c r="AB141" i="6"/>
  <c r="AA141" i="6"/>
  <c r="Z141" i="6"/>
  <c r="Y141" i="6"/>
  <c r="X141" i="6"/>
  <c r="W141" i="6"/>
  <c r="V141" i="6"/>
  <c r="U140" i="6"/>
  <c r="T140" i="6" s="1"/>
  <c r="U139" i="6"/>
  <c r="T139" i="6" s="1"/>
  <c r="U138" i="6"/>
  <c r="T138" i="6" s="1"/>
  <c r="U137" i="6"/>
  <c r="T137" i="6" s="1"/>
  <c r="U136" i="6"/>
  <c r="T136" i="6" s="1"/>
  <c r="U135" i="6"/>
  <c r="T135" i="6" s="1"/>
  <c r="U134" i="6"/>
  <c r="T134" i="6" s="1"/>
  <c r="U133" i="6"/>
  <c r="T133" i="6" s="1"/>
  <c r="U132" i="6"/>
  <c r="T132" i="6" s="1"/>
  <c r="U131" i="6"/>
  <c r="AC130" i="6"/>
  <c r="AB130" i="6"/>
  <c r="AA130" i="6"/>
  <c r="Z130" i="6"/>
  <c r="Y130" i="6"/>
  <c r="X130" i="6"/>
  <c r="W130" i="6"/>
  <c r="V130" i="6"/>
  <c r="R130" i="6"/>
  <c r="T127" i="6"/>
  <c r="R127" i="6"/>
  <c r="AB126" i="6"/>
  <c r="AA126" i="6"/>
  <c r="Z126" i="6"/>
  <c r="Y126" i="6"/>
  <c r="X126" i="6"/>
  <c r="W126" i="6"/>
  <c r="V126" i="6"/>
  <c r="U126" i="6"/>
  <c r="T125" i="6"/>
  <c r="T124" i="6"/>
  <c r="R124" i="6"/>
  <c r="T123" i="6"/>
  <c r="R123" i="6"/>
  <c r="AC122" i="6"/>
  <c r="AB122" i="6"/>
  <c r="AA122" i="6"/>
  <c r="Z122" i="6"/>
  <c r="Y122" i="6"/>
  <c r="X122" i="6"/>
  <c r="W122" i="6"/>
  <c r="V122" i="6"/>
  <c r="U122" i="6"/>
  <c r="T121" i="6"/>
  <c r="S121" i="6" s="1"/>
  <c r="T120" i="6"/>
  <c r="T119" i="6"/>
  <c r="AC118" i="6"/>
  <c r="AB118" i="6"/>
  <c r="AA118" i="6"/>
  <c r="Z118" i="6"/>
  <c r="Y118" i="6"/>
  <c r="X118" i="6"/>
  <c r="W118" i="6"/>
  <c r="V118" i="6"/>
  <c r="U118" i="6"/>
  <c r="T117" i="6"/>
  <c r="T116" i="6"/>
  <c r="T115" i="6"/>
  <c r="AC114" i="6"/>
  <c r="AB114" i="6"/>
  <c r="AA114" i="6"/>
  <c r="Z114" i="6"/>
  <c r="Y114" i="6"/>
  <c r="X114" i="6"/>
  <c r="W114" i="6"/>
  <c r="V114" i="6"/>
  <c r="U114" i="6"/>
  <c r="R114" i="6"/>
  <c r="T113" i="6"/>
  <c r="S113" i="6" s="1"/>
  <c r="T112" i="6"/>
  <c r="T111" i="6"/>
  <c r="AC110" i="6"/>
  <c r="AB110" i="6"/>
  <c r="AA110" i="6"/>
  <c r="Z110" i="6"/>
  <c r="Y110" i="6"/>
  <c r="X110" i="6"/>
  <c r="W110" i="6"/>
  <c r="V110" i="6"/>
  <c r="U110" i="6"/>
  <c r="R110" i="6"/>
  <c r="T109" i="6"/>
  <c r="S109" i="6" s="1"/>
  <c r="T108" i="6"/>
  <c r="R106" i="6"/>
  <c r="T107" i="6"/>
  <c r="AC106" i="6"/>
  <c r="AB106" i="6"/>
  <c r="AA106" i="6"/>
  <c r="Z106" i="6"/>
  <c r="Y106" i="6"/>
  <c r="X106" i="6"/>
  <c r="W106" i="6"/>
  <c r="V106" i="6"/>
  <c r="U106" i="6"/>
  <c r="T105" i="6"/>
  <c r="T104" i="6"/>
  <c r="T103" i="6"/>
  <c r="T102" i="6"/>
  <c r="S102" i="6" s="1"/>
  <c r="AC101" i="6"/>
  <c r="AB101" i="6"/>
  <c r="AA101" i="6"/>
  <c r="Z101" i="6"/>
  <c r="Y101" i="6"/>
  <c r="X101" i="6"/>
  <c r="W101" i="6"/>
  <c r="V101" i="6"/>
  <c r="U101" i="6"/>
  <c r="R101" i="6"/>
  <c r="T100" i="6"/>
  <c r="T99" i="6"/>
  <c r="T98" i="6"/>
  <c r="T97" i="6"/>
  <c r="T96" i="6"/>
  <c r="S96" i="6" s="1"/>
  <c r="T95" i="6"/>
  <c r="R94" i="6"/>
  <c r="AC94" i="6"/>
  <c r="AB94" i="6"/>
  <c r="AA94" i="6"/>
  <c r="Z94" i="6"/>
  <c r="Y94" i="6"/>
  <c r="X94" i="6"/>
  <c r="W94" i="6"/>
  <c r="V94" i="6"/>
  <c r="U94" i="6"/>
  <c r="T93" i="6"/>
  <c r="T92" i="6"/>
  <c r="T91" i="6"/>
  <c r="T90" i="6"/>
  <c r="T89" i="6"/>
  <c r="R87" i="6"/>
  <c r="T88" i="6"/>
  <c r="AC87" i="6"/>
  <c r="AB87" i="6"/>
  <c r="AA87" i="6"/>
  <c r="Z87" i="6"/>
  <c r="Y87" i="6"/>
  <c r="X87" i="6"/>
  <c r="W87" i="6"/>
  <c r="V87" i="6"/>
  <c r="U87" i="6"/>
  <c r="T83" i="6"/>
  <c r="R83" i="6"/>
  <c r="T82" i="6"/>
  <c r="T81" i="6"/>
  <c r="AC80" i="6"/>
  <c r="AB80" i="6"/>
  <c r="AA80" i="6"/>
  <c r="Z80" i="6"/>
  <c r="Y80" i="6"/>
  <c r="X80" i="6"/>
  <c r="W80" i="6"/>
  <c r="V80" i="6"/>
  <c r="U80" i="6"/>
  <c r="T79" i="6"/>
  <c r="R79" i="6"/>
  <c r="T78" i="6"/>
  <c r="AC77" i="6"/>
  <c r="AB77" i="6"/>
  <c r="AA77" i="6"/>
  <c r="Z77" i="6"/>
  <c r="Y77" i="6"/>
  <c r="X77" i="6"/>
  <c r="W77" i="6"/>
  <c r="V77" i="6"/>
  <c r="U77" i="6"/>
  <c r="T76" i="6"/>
  <c r="R76" i="6"/>
  <c r="T75" i="6"/>
  <c r="T74" i="6"/>
  <c r="S74" i="6" s="1"/>
  <c r="T73" i="6"/>
  <c r="T72" i="6"/>
  <c r="AC71" i="6"/>
  <c r="AB71" i="6"/>
  <c r="AA71" i="6"/>
  <c r="Z71" i="6"/>
  <c r="Y71" i="6"/>
  <c r="X71" i="6"/>
  <c r="W71" i="6"/>
  <c r="V71" i="6"/>
  <c r="U71" i="6"/>
  <c r="T70" i="6"/>
  <c r="R70" i="6"/>
  <c r="R65" i="6" s="1"/>
  <c r="T69" i="6"/>
  <c r="T68" i="6"/>
  <c r="T67" i="6"/>
  <c r="T66" i="6"/>
  <c r="AC65" i="6"/>
  <c r="AB65" i="6"/>
  <c r="AA65" i="6"/>
  <c r="Z65" i="6"/>
  <c r="Y65" i="6"/>
  <c r="X65" i="6"/>
  <c r="W65" i="6"/>
  <c r="V65" i="6"/>
  <c r="U65" i="6"/>
  <c r="T64" i="6"/>
  <c r="R64" i="6"/>
  <c r="U63" i="6"/>
  <c r="T63" i="6" s="1"/>
  <c r="U62" i="6"/>
  <c r="AC61" i="6"/>
  <c r="AB61" i="6"/>
  <c r="AA61" i="6"/>
  <c r="Z61" i="6"/>
  <c r="Y61" i="6"/>
  <c r="X61" i="6"/>
  <c r="W61" i="6"/>
  <c r="V61" i="6"/>
  <c r="T60" i="6"/>
  <c r="R60" i="6"/>
  <c r="R56" i="6" s="1"/>
  <c r="T59" i="6"/>
  <c r="S58" i="6"/>
  <c r="T57" i="6"/>
  <c r="AC56" i="6"/>
  <c r="AB56" i="6"/>
  <c r="AA56" i="6"/>
  <c r="Z56" i="6"/>
  <c r="Y56" i="6"/>
  <c r="X56" i="6"/>
  <c r="W56" i="6"/>
  <c r="V56" i="6"/>
  <c r="U56" i="6"/>
  <c r="T55" i="6"/>
  <c r="R55" i="6"/>
  <c r="T54" i="6"/>
  <c r="S54" i="6" s="1"/>
  <c r="T53" i="6"/>
  <c r="S53" i="6" s="1"/>
  <c r="T52" i="6"/>
  <c r="T51" i="6"/>
  <c r="AC50" i="6"/>
  <c r="AB50" i="6"/>
  <c r="AA50" i="6"/>
  <c r="Z50" i="6"/>
  <c r="Y50" i="6"/>
  <c r="X50" i="6"/>
  <c r="W50" i="6"/>
  <c r="V50" i="6"/>
  <c r="U50" i="6"/>
  <c r="T49" i="6"/>
  <c r="R49" i="6"/>
  <c r="R43" i="6" s="1"/>
  <c r="T48" i="6"/>
  <c r="T47" i="6"/>
  <c r="T46" i="6"/>
  <c r="T45" i="6"/>
  <c r="T44" i="6"/>
  <c r="AC43" i="6"/>
  <c r="AB43" i="6"/>
  <c r="AA43" i="6"/>
  <c r="Z43" i="6"/>
  <c r="Y43" i="6"/>
  <c r="X43" i="6"/>
  <c r="W43" i="6"/>
  <c r="V43" i="6"/>
  <c r="U43" i="6"/>
  <c r="R42" i="6"/>
  <c r="U42" i="6" s="1"/>
  <c r="T42" i="6" s="1"/>
  <c r="S42" i="6" s="1"/>
  <c r="U41" i="6"/>
  <c r="T40" i="6"/>
  <c r="T39" i="6"/>
  <c r="AC38" i="6"/>
  <c r="AB38" i="6"/>
  <c r="AA38" i="6"/>
  <c r="Z38" i="6"/>
  <c r="Y38" i="6"/>
  <c r="X38" i="6"/>
  <c r="W38" i="6"/>
  <c r="V38" i="6"/>
  <c r="R38" i="6"/>
  <c r="U36" i="6"/>
  <c r="T36" i="6" s="1"/>
  <c r="S36" i="6" s="1"/>
  <c r="U35" i="6"/>
  <c r="T35" i="6" s="1"/>
  <c r="S35" i="6" s="1"/>
  <c r="AC34" i="6"/>
  <c r="AB34" i="6"/>
  <c r="AA34" i="6"/>
  <c r="Z34" i="6"/>
  <c r="Y34" i="6"/>
  <c r="X34" i="6"/>
  <c r="W34" i="6"/>
  <c r="V34" i="6"/>
  <c r="R34" i="6"/>
  <c r="U33" i="6"/>
  <c r="T33" i="6" s="1"/>
  <c r="S33" i="6" s="1"/>
  <c r="U32" i="6"/>
  <c r="AC31" i="6"/>
  <c r="AB31" i="6"/>
  <c r="AA31" i="6"/>
  <c r="Z31" i="6"/>
  <c r="Y31" i="6"/>
  <c r="X31" i="6"/>
  <c r="W31" i="6"/>
  <c r="V31" i="6"/>
  <c r="R31" i="6"/>
  <c r="U30" i="6"/>
  <c r="T30" i="6" s="1"/>
  <c r="S30" i="6" s="1"/>
  <c r="U29" i="6"/>
  <c r="T29" i="6" s="1"/>
  <c r="S29" i="6" s="1"/>
  <c r="AC28" i="6"/>
  <c r="AB28" i="6"/>
  <c r="AA28" i="6"/>
  <c r="Z28" i="6"/>
  <c r="Y28" i="6"/>
  <c r="X28" i="6"/>
  <c r="W28" i="6"/>
  <c r="V28" i="6"/>
  <c r="R28" i="6"/>
  <c r="U27" i="6"/>
  <c r="T27" i="6" s="1"/>
  <c r="S27" i="6" s="1"/>
  <c r="U26" i="6"/>
  <c r="U25" i="6"/>
  <c r="T25" i="6" s="1"/>
  <c r="S25" i="6" s="1"/>
  <c r="AC24" i="6"/>
  <c r="AB24" i="6"/>
  <c r="AA24" i="6"/>
  <c r="Z24" i="6"/>
  <c r="Y24" i="6"/>
  <c r="X24" i="6"/>
  <c r="W24" i="6"/>
  <c r="V24" i="6"/>
  <c r="R24" i="6"/>
  <c r="R22" i="6"/>
  <c r="U22" i="6" s="1"/>
  <c r="T22" i="6" s="1"/>
  <c r="S22" i="6" s="1"/>
  <c r="U21" i="6"/>
  <c r="T21" i="6" s="1"/>
  <c r="T20" i="6"/>
  <c r="U19" i="6"/>
  <c r="T19" i="6" s="1"/>
  <c r="U18" i="6"/>
  <c r="AC17" i="6"/>
  <c r="AB17" i="6"/>
  <c r="AA17" i="6"/>
  <c r="Z17" i="6"/>
  <c r="Y17" i="6"/>
  <c r="X17" i="6"/>
  <c r="W17" i="6"/>
  <c r="V17" i="6"/>
  <c r="U16" i="6"/>
  <c r="T16" i="6" s="1"/>
  <c r="S16" i="6" s="1"/>
  <c r="T15" i="6"/>
  <c r="U14" i="6"/>
  <c r="T14" i="6" s="1"/>
  <c r="U12" i="6"/>
  <c r="T12" i="6" s="1"/>
  <c r="U10" i="6"/>
  <c r="T10" i="6" s="1"/>
  <c r="U8" i="6"/>
  <c r="T8" i="6" s="1"/>
  <c r="AC6" i="6"/>
  <c r="AB6" i="6"/>
  <c r="AA6" i="6"/>
  <c r="Z6" i="6"/>
  <c r="Y6" i="6"/>
  <c r="X6" i="6"/>
  <c r="W6" i="6"/>
  <c r="V6" i="6"/>
  <c r="R6" i="6"/>
  <c r="AH595" i="6"/>
  <c r="AD595" i="6"/>
  <c r="AD594" i="6" s="1"/>
  <c r="F595" i="6"/>
  <c r="AR594" i="6"/>
  <c r="AO594" i="6"/>
  <c r="AN594" i="6"/>
  <c r="AM594" i="6"/>
  <c r="AL594" i="6"/>
  <c r="AK594" i="6"/>
  <c r="AJ594" i="6"/>
  <c r="AI594" i="6"/>
  <c r="AG594" i="6"/>
  <c r="Q594" i="6"/>
  <c r="P594" i="6"/>
  <c r="O594" i="6"/>
  <c r="N594" i="6"/>
  <c r="M594" i="6"/>
  <c r="L594" i="6"/>
  <c r="K594" i="6"/>
  <c r="I594" i="6"/>
  <c r="AF593" i="6"/>
  <c r="AD593" i="6"/>
  <c r="H593" i="6"/>
  <c r="F593" i="6"/>
  <c r="AF592" i="6"/>
  <c r="AD592" i="6"/>
  <c r="H592" i="6"/>
  <c r="F592" i="6"/>
  <c r="AS592" i="6" s="1"/>
  <c r="AG591" i="6"/>
  <c r="AF591" i="6" s="1"/>
  <c r="AD591" i="6"/>
  <c r="F591" i="6"/>
  <c r="I591" i="6" s="1"/>
  <c r="H591" i="6" s="1"/>
  <c r="G591" i="6" s="1"/>
  <c r="AQ590" i="6"/>
  <c r="AR590" i="6" s="1"/>
  <c r="AO590" i="6"/>
  <c r="AN590" i="6"/>
  <c r="AM590" i="6"/>
  <c r="AL590" i="6"/>
  <c r="AK590" i="6"/>
  <c r="AJ590" i="6"/>
  <c r="AI590" i="6"/>
  <c r="AH590" i="6"/>
  <c r="Q590" i="6"/>
  <c r="P590" i="6"/>
  <c r="O590" i="6"/>
  <c r="N590" i="6"/>
  <c r="M590" i="6"/>
  <c r="L590" i="6"/>
  <c r="K590" i="6"/>
  <c r="J590" i="6"/>
  <c r="AF589" i="6"/>
  <c r="AE589" i="6" s="1"/>
  <c r="F589" i="6"/>
  <c r="J589" i="6" s="1"/>
  <c r="H589" i="6" s="1"/>
  <c r="G589" i="6" s="1"/>
  <c r="AF588" i="6"/>
  <c r="AD588" i="6"/>
  <c r="H588" i="6"/>
  <c r="F588" i="6"/>
  <c r="AS588" i="6" s="1"/>
  <c r="AH587" i="6"/>
  <c r="AF587" i="6" s="1"/>
  <c r="AD587" i="6"/>
  <c r="F587" i="6"/>
  <c r="AH586" i="6"/>
  <c r="AF586" i="6" s="1"/>
  <c r="AD586" i="6"/>
  <c r="F586" i="6"/>
  <c r="AH585" i="6"/>
  <c r="AF585" i="6" s="1"/>
  <c r="AD585" i="6"/>
  <c r="F585" i="6"/>
  <c r="AH584" i="6"/>
  <c r="AF584" i="6" s="1"/>
  <c r="AD584" i="6"/>
  <c r="F584" i="6"/>
  <c r="AH583" i="6"/>
  <c r="AF583" i="6" s="1"/>
  <c r="AD583" i="6"/>
  <c r="F583" i="6"/>
  <c r="AH582" i="6"/>
  <c r="AF582" i="6" s="1"/>
  <c r="AD582" i="6"/>
  <c r="F582" i="6"/>
  <c r="AH581" i="6"/>
  <c r="AF581" i="6" s="1"/>
  <c r="AD581" i="6"/>
  <c r="F581" i="6"/>
  <c r="AH580" i="6"/>
  <c r="AF580" i="6" s="1"/>
  <c r="F580" i="6"/>
  <c r="AH579" i="6"/>
  <c r="AF579" i="6" s="1"/>
  <c r="AD579" i="6"/>
  <c r="F579" i="6"/>
  <c r="AH578" i="6"/>
  <c r="AF578" i="6" s="1"/>
  <c r="AD578" i="6"/>
  <c r="F578" i="6"/>
  <c r="AH577" i="6"/>
  <c r="AF577" i="6" s="1"/>
  <c r="AD577" i="6"/>
  <c r="F577" i="6"/>
  <c r="AH576" i="6"/>
  <c r="AF576" i="6" s="1"/>
  <c r="AD576" i="6"/>
  <c r="F576" i="6"/>
  <c r="AH575" i="6"/>
  <c r="AF575" i="6" s="1"/>
  <c r="AD575" i="6"/>
  <c r="F575" i="6"/>
  <c r="AH574" i="6"/>
  <c r="AF574" i="6" s="1"/>
  <c r="AD574" i="6"/>
  <c r="F574" i="6"/>
  <c r="AH573" i="6"/>
  <c r="AF573" i="6" s="1"/>
  <c r="AD573" i="6"/>
  <c r="F573" i="6"/>
  <c r="AH572" i="6"/>
  <c r="AF572" i="6" s="1"/>
  <c r="AD572" i="6"/>
  <c r="F572" i="6"/>
  <c r="AH571" i="6"/>
  <c r="AF571" i="6" s="1"/>
  <c r="AD571" i="6"/>
  <c r="F571" i="6"/>
  <c r="AH570" i="6"/>
  <c r="AF570" i="6" s="1"/>
  <c r="AD570" i="6"/>
  <c r="F570" i="6"/>
  <c r="AH569" i="6"/>
  <c r="AF569" i="6" s="1"/>
  <c r="AD569" i="6"/>
  <c r="F569" i="6"/>
  <c r="AH568" i="6"/>
  <c r="AF568" i="6" s="1"/>
  <c r="AD568" i="6"/>
  <c r="F568" i="6"/>
  <c r="AH567" i="6"/>
  <c r="AF567" i="6" s="1"/>
  <c r="F567" i="6"/>
  <c r="AH566" i="6"/>
  <c r="AF566" i="6" s="1"/>
  <c r="F566" i="6"/>
  <c r="AF565" i="6"/>
  <c r="F565" i="6"/>
  <c r="AF564" i="6"/>
  <c r="AE564" i="6" s="1"/>
  <c r="F564" i="6"/>
  <c r="J564" i="6" s="1"/>
  <c r="H564" i="6" s="1"/>
  <c r="G564" i="6" s="1"/>
  <c r="AF563" i="6"/>
  <c r="F563" i="6"/>
  <c r="AH562" i="6"/>
  <c r="AF562" i="6" s="1"/>
  <c r="AD562" i="6"/>
  <c r="F562" i="6"/>
  <c r="AH561" i="6"/>
  <c r="AF561" i="6" s="1"/>
  <c r="F561" i="6"/>
  <c r="J561" i="6" s="1"/>
  <c r="H561" i="6" s="1"/>
  <c r="G561" i="6" s="1"/>
  <c r="AH560" i="6"/>
  <c r="AF560" i="6" s="1"/>
  <c r="AD560" i="6"/>
  <c r="F560" i="6"/>
  <c r="J560" i="6" s="1"/>
  <c r="H560" i="6" s="1"/>
  <c r="G560" i="6" s="1"/>
  <c r="AF559" i="6"/>
  <c r="F559" i="6"/>
  <c r="AH558" i="6"/>
  <c r="AD558" i="6"/>
  <c r="F558" i="6"/>
  <c r="AF557" i="6"/>
  <c r="F557" i="6"/>
  <c r="Q555" i="6"/>
  <c r="P555" i="6"/>
  <c r="O555" i="6"/>
  <c r="N555" i="6"/>
  <c r="M555" i="6"/>
  <c r="L555" i="6"/>
  <c r="K555" i="6"/>
  <c r="I555" i="6"/>
  <c r="AF554" i="6"/>
  <c r="AE554" i="6" s="1"/>
  <c r="H554" i="6"/>
  <c r="F554" i="6"/>
  <c r="AH553" i="6"/>
  <c r="AF553" i="6" s="1"/>
  <c r="AD553" i="6"/>
  <c r="F553" i="6"/>
  <c r="J553" i="6" s="1"/>
  <c r="H553" i="6" s="1"/>
  <c r="G553" i="6" s="1"/>
  <c r="AH552" i="6"/>
  <c r="AF552" i="6" s="1"/>
  <c r="AD552" i="6"/>
  <c r="F552" i="6"/>
  <c r="J552" i="6" s="1"/>
  <c r="H552" i="6" s="1"/>
  <c r="G552" i="6" s="1"/>
  <c r="AH551" i="6"/>
  <c r="AF551" i="6" s="1"/>
  <c r="AD551" i="6"/>
  <c r="F551" i="6"/>
  <c r="AH550" i="6"/>
  <c r="AF550" i="6" s="1"/>
  <c r="AD550" i="6"/>
  <c r="F550" i="6"/>
  <c r="J550" i="6" s="1"/>
  <c r="H550" i="6" s="1"/>
  <c r="G550" i="6" s="1"/>
  <c r="AH549" i="6"/>
  <c r="AF549" i="6" s="1"/>
  <c r="AD549" i="6"/>
  <c r="F549" i="6"/>
  <c r="J549" i="6" s="1"/>
  <c r="H549" i="6" s="1"/>
  <c r="G549" i="6" s="1"/>
  <c r="AH548" i="6"/>
  <c r="AF548" i="6" s="1"/>
  <c r="AD548" i="6"/>
  <c r="F548" i="6"/>
  <c r="AH547" i="6"/>
  <c r="AF547" i="6" s="1"/>
  <c r="AD547" i="6"/>
  <c r="F547" i="6"/>
  <c r="AS547" i="6" s="1"/>
  <c r="AH546" i="6"/>
  <c r="AF546" i="6" s="1"/>
  <c r="AD546" i="6"/>
  <c r="F546" i="6"/>
  <c r="AH545" i="6"/>
  <c r="AF545" i="6" s="1"/>
  <c r="AD545" i="6"/>
  <c r="F545" i="6"/>
  <c r="J545" i="6" s="1"/>
  <c r="H545" i="6" s="1"/>
  <c r="G545" i="6" s="1"/>
  <c r="AH544" i="6"/>
  <c r="AF544" i="6" s="1"/>
  <c r="AD544" i="6"/>
  <c r="F544" i="6"/>
  <c r="AH543" i="6"/>
  <c r="AF543" i="6" s="1"/>
  <c r="AD543" i="6"/>
  <c r="F543" i="6"/>
  <c r="J543" i="6" s="1"/>
  <c r="H543" i="6" s="1"/>
  <c r="G543" i="6" s="1"/>
  <c r="AH542" i="6"/>
  <c r="AF542" i="6" s="1"/>
  <c r="AD542" i="6"/>
  <c r="F542" i="6"/>
  <c r="J542" i="6" s="1"/>
  <c r="H542" i="6" s="1"/>
  <c r="G542" i="6" s="1"/>
  <c r="AH541" i="6"/>
  <c r="AF541" i="6" s="1"/>
  <c r="AD541" i="6"/>
  <c r="F541" i="6"/>
  <c r="AH540" i="6"/>
  <c r="AD540" i="6"/>
  <c r="F540" i="6"/>
  <c r="Q538" i="6"/>
  <c r="P538" i="6"/>
  <c r="O538" i="6"/>
  <c r="N538" i="6"/>
  <c r="M538" i="6"/>
  <c r="L538" i="6"/>
  <c r="K538" i="6"/>
  <c r="I538" i="6"/>
  <c r="AF537" i="6"/>
  <c r="AD537" i="6"/>
  <c r="H537" i="6"/>
  <c r="F537" i="6"/>
  <c r="AF536" i="6"/>
  <c r="H536" i="6"/>
  <c r="F536" i="6"/>
  <c r="AF535" i="6"/>
  <c r="H535" i="6"/>
  <c r="F535" i="6"/>
  <c r="AF534" i="6"/>
  <c r="AD534" i="6"/>
  <c r="H534" i="6"/>
  <c r="F534" i="6"/>
  <c r="AR533" i="6"/>
  <c r="AO533" i="6"/>
  <c r="AN533" i="6"/>
  <c r="AM533" i="6"/>
  <c r="AL533" i="6"/>
  <c r="AK533" i="6"/>
  <c r="AJ533" i="6"/>
  <c r="AI533" i="6"/>
  <c r="AH533" i="6"/>
  <c r="AG533" i="6"/>
  <c r="Q533" i="6"/>
  <c r="P533" i="6"/>
  <c r="O533" i="6"/>
  <c r="N533" i="6"/>
  <c r="M533" i="6"/>
  <c r="L533" i="6"/>
  <c r="K533" i="6"/>
  <c r="J533" i="6"/>
  <c r="I533" i="6"/>
  <c r="AP532" i="6"/>
  <c r="AH532" i="6"/>
  <c r="AF531" i="6"/>
  <c r="AD531" i="6"/>
  <c r="AD530" i="6" s="1"/>
  <c r="H531" i="6"/>
  <c r="F531" i="6"/>
  <c r="AS531" i="6" s="1"/>
  <c r="AQ530" i="6"/>
  <c r="AO530" i="6"/>
  <c r="AN530" i="6"/>
  <c r="AM530" i="6"/>
  <c r="AL530" i="6"/>
  <c r="AK530" i="6"/>
  <c r="AJ530" i="6"/>
  <c r="AI530" i="6"/>
  <c r="AH530" i="6"/>
  <c r="AG530" i="6"/>
  <c r="Q530" i="6"/>
  <c r="P530" i="6"/>
  <c r="O530" i="6"/>
  <c r="N530" i="6"/>
  <c r="M530" i="6"/>
  <c r="L530" i="6"/>
  <c r="K530" i="6"/>
  <c r="J530" i="6"/>
  <c r="I530" i="6"/>
  <c r="AF529" i="6"/>
  <c r="AE529" i="6" s="1"/>
  <c r="H529" i="6"/>
  <c r="F529" i="6"/>
  <c r="AG528" i="6"/>
  <c r="AG527" i="6" s="1"/>
  <c r="AD528" i="6"/>
  <c r="F528" i="6"/>
  <c r="AQ527" i="6"/>
  <c r="AO527" i="6"/>
  <c r="AN527" i="6"/>
  <c r="AM527" i="6"/>
  <c r="AL527" i="6"/>
  <c r="AK527" i="6"/>
  <c r="AJ527" i="6"/>
  <c r="AI527" i="6"/>
  <c r="AH527" i="6"/>
  <c r="Q527" i="6"/>
  <c r="P527" i="6"/>
  <c r="O527" i="6"/>
  <c r="N527" i="6"/>
  <c r="M527" i="6"/>
  <c r="L527" i="6"/>
  <c r="K527" i="6"/>
  <c r="J527" i="6"/>
  <c r="AF525" i="6"/>
  <c r="AD525" i="6"/>
  <c r="AD524" i="6" s="1"/>
  <c r="H525" i="6"/>
  <c r="F525" i="6"/>
  <c r="AQ524" i="6"/>
  <c r="Q524" i="6"/>
  <c r="P524" i="6"/>
  <c r="O524" i="6"/>
  <c r="N524" i="6"/>
  <c r="M524" i="6"/>
  <c r="L524" i="6"/>
  <c r="K524" i="6"/>
  <c r="J524" i="6"/>
  <c r="I524" i="6"/>
  <c r="AF523" i="6"/>
  <c r="AD523" i="6"/>
  <c r="H523" i="6"/>
  <c r="F523" i="6"/>
  <c r="AF522" i="6"/>
  <c r="AD522" i="6"/>
  <c r="H522" i="6"/>
  <c r="F522" i="6"/>
  <c r="AS522" i="6" s="1"/>
  <c r="AH521" i="6"/>
  <c r="AF521" i="6" s="1"/>
  <c r="F521" i="6"/>
  <c r="AQ520" i="6"/>
  <c r="AR520" i="6" s="1"/>
  <c r="AO520" i="6"/>
  <c r="AN520" i="6"/>
  <c r="AM520" i="6"/>
  <c r="AL520" i="6"/>
  <c r="AK520" i="6"/>
  <c r="AJ520" i="6"/>
  <c r="AI520" i="6"/>
  <c r="AG520" i="6"/>
  <c r="Q520" i="6"/>
  <c r="P520" i="6"/>
  <c r="O520" i="6"/>
  <c r="N520" i="6"/>
  <c r="M520" i="6"/>
  <c r="L520" i="6"/>
  <c r="K520" i="6"/>
  <c r="I520" i="6"/>
  <c r="AF519" i="6"/>
  <c r="AD519" i="6"/>
  <c r="H519" i="6"/>
  <c r="F519" i="6"/>
  <c r="AF518" i="6"/>
  <c r="AD518" i="6"/>
  <c r="H518" i="6"/>
  <c r="F518" i="6"/>
  <c r="AS518" i="6" s="1"/>
  <c r="AF517" i="6"/>
  <c r="H517" i="6"/>
  <c r="F517" i="6"/>
  <c r="AF516" i="6"/>
  <c r="H516" i="6"/>
  <c r="F516" i="6"/>
  <c r="AQ515" i="6"/>
  <c r="AR515" i="6" s="1"/>
  <c r="AO515" i="6"/>
  <c r="AN515" i="6"/>
  <c r="AM515" i="6"/>
  <c r="AL515" i="6"/>
  <c r="AK515" i="6"/>
  <c r="AJ515" i="6"/>
  <c r="AI515" i="6"/>
  <c r="AH515" i="6"/>
  <c r="AG515" i="6"/>
  <c r="Q515" i="6"/>
  <c r="P515" i="6"/>
  <c r="O515" i="6"/>
  <c r="N515" i="6"/>
  <c r="M515" i="6"/>
  <c r="L515" i="6"/>
  <c r="K515" i="6"/>
  <c r="J515" i="6"/>
  <c r="I515" i="6"/>
  <c r="AP514" i="6"/>
  <c r="AF513" i="6"/>
  <c r="AD513" i="6"/>
  <c r="H513" i="6"/>
  <c r="F513" i="6"/>
  <c r="AS513" i="6" s="1"/>
  <c r="AQ512" i="6"/>
  <c r="AO512" i="6"/>
  <c r="AN512" i="6"/>
  <c r="AM512" i="6"/>
  <c r="AL512" i="6"/>
  <c r="AK512" i="6"/>
  <c r="AJ512" i="6"/>
  <c r="AI512" i="6"/>
  <c r="AH512" i="6"/>
  <c r="AG512" i="6"/>
  <c r="Q512" i="6"/>
  <c r="P512" i="6"/>
  <c r="O512" i="6"/>
  <c r="N512" i="6"/>
  <c r="M512" i="6"/>
  <c r="L512" i="6"/>
  <c r="K512" i="6"/>
  <c r="J512" i="6"/>
  <c r="I512" i="6"/>
  <c r="AF511" i="6"/>
  <c r="AD511" i="6"/>
  <c r="H511" i="6"/>
  <c r="F511" i="6"/>
  <c r="AS511" i="6" s="1"/>
  <c r="AF510" i="6"/>
  <c r="AD510" i="6"/>
  <c r="H510" i="6"/>
  <c r="F510" i="6"/>
  <c r="AS510" i="6" s="1"/>
  <c r="AF509" i="6"/>
  <c r="AD509" i="6"/>
  <c r="H509" i="6"/>
  <c r="F509" i="6"/>
  <c r="AS509" i="6" s="1"/>
  <c r="AF508" i="6"/>
  <c r="AD508" i="6"/>
  <c r="H508" i="6"/>
  <c r="F508" i="6"/>
  <c r="AS508" i="6" s="1"/>
  <c r="AQ507" i="6"/>
  <c r="AR507" i="6" s="1"/>
  <c r="AO507" i="6"/>
  <c r="AN507" i="6"/>
  <c r="AM507" i="6"/>
  <c r="AL507" i="6"/>
  <c r="AK507" i="6"/>
  <c r="AJ507" i="6"/>
  <c r="AI507" i="6"/>
  <c r="AH507" i="6"/>
  <c r="AG507" i="6"/>
  <c r="Q507" i="6"/>
  <c r="P507" i="6"/>
  <c r="O507" i="6"/>
  <c r="N507" i="6"/>
  <c r="M507" i="6"/>
  <c r="L507" i="6"/>
  <c r="K507" i="6"/>
  <c r="J507" i="6"/>
  <c r="I507" i="6"/>
  <c r="AF506" i="6"/>
  <c r="AD506" i="6"/>
  <c r="H506" i="6"/>
  <c r="F506" i="6"/>
  <c r="AF505" i="6"/>
  <c r="AD505" i="6"/>
  <c r="H505" i="6"/>
  <c r="F505" i="6"/>
  <c r="AS505" i="6" s="1"/>
  <c r="AQ504" i="6"/>
  <c r="AR504" i="6" s="1"/>
  <c r="AO504" i="6"/>
  <c r="AN504" i="6"/>
  <c r="AM504" i="6"/>
  <c r="AL504" i="6"/>
  <c r="AK504" i="6"/>
  <c r="AJ504" i="6"/>
  <c r="AI504" i="6"/>
  <c r="AH504" i="6"/>
  <c r="AG504" i="6"/>
  <c r="Q504" i="6"/>
  <c r="P504" i="6"/>
  <c r="O504" i="6"/>
  <c r="N504" i="6"/>
  <c r="M504" i="6"/>
  <c r="L504" i="6"/>
  <c r="K504" i="6"/>
  <c r="J504" i="6"/>
  <c r="I504" i="6"/>
  <c r="AF503" i="6"/>
  <c r="AD503" i="6"/>
  <c r="H503" i="6"/>
  <c r="F503" i="6"/>
  <c r="AF502" i="6"/>
  <c r="AD502" i="6"/>
  <c r="H502" i="6"/>
  <c r="F502" i="6"/>
  <c r="AS502" i="6" s="1"/>
  <c r="AF501" i="6"/>
  <c r="AD501" i="6"/>
  <c r="H501" i="6"/>
  <c r="F501" i="6"/>
  <c r="AS501" i="6" s="1"/>
  <c r="AQ500" i="6"/>
  <c r="AR500" i="6" s="1"/>
  <c r="AO500" i="6"/>
  <c r="AN500" i="6"/>
  <c r="AM500" i="6"/>
  <c r="AL500" i="6"/>
  <c r="AK500" i="6"/>
  <c r="AJ500" i="6"/>
  <c r="AI500" i="6"/>
  <c r="AH500" i="6"/>
  <c r="AG500" i="6"/>
  <c r="Q500" i="6"/>
  <c r="P500" i="6"/>
  <c r="O500" i="6"/>
  <c r="N500" i="6"/>
  <c r="M500" i="6"/>
  <c r="L500" i="6"/>
  <c r="K500" i="6"/>
  <c r="J500" i="6"/>
  <c r="I500" i="6"/>
  <c r="AF499" i="6"/>
  <c r="H499" i="6"/>
  <c r="F499" i="6"/>
  <c r="AF498" i="6"/>
  <c r="AD498" i="6"/>
  <c r="H498" i="6"/>
  <c r="F498" i="6"/>
  <c r="AS498" i="6" s="1"/>
  <c r="AF497" i="6"/>
  <c r="H497" i="6"/>
  <c r="F497" i="6"/>
  <c r="AF496" i="6"/>
  <c r="AD496" i="6"/>
  <c r="H496" i="6"/>
  <c r="F496" i="6"/>
  <c r="AS496" i="6" s="1"/>
  <c r="AQ495" i="6"/>
  <c r="AR495" i="6" s="1"/>
  <c r="AO495" i="6"/>
  <c r="AN495" i="6"/>
  <c r="AM495" i="6"/>
  <c r="AL495" i="6"/>
  <c r="AK495" i="6"/>
  <c r="AJ495" i="6"/>
  <c r="AI495" i="6"/>
  <c r="AH495" i="6"/>
  <c r="AG495" i="6"/>
  <c r="Q495" i="6"/>
  <c r="P495" i="6"/>
  <c r="O495" i="6"/>
  <c r="N495" i="6"/>
  <c r="M495" i="6"/>
  <c r="L495" i="6"/>
  <c r="K495" i="6"/>
  <c r="J495" i="6"/>
  <c r="I495" i="6"/>
  <c r="AP494" i="6"/>
  <c r="AF493" i="6"/>
  <c r="AD493" i="6"/>
  <c r="L493" i="6"/>
  <c r="L492" i="6" s="1"/>
  <c r="K493" i="6"/>
  <c r="K492" i="6" s="1"/>
  <c r="F493" i="6"/>
  <c r="AR492" i="6"/>
  <c r="AO492" i="6"/>
  <c r="AN492" i="6"/>
  <c r="AM492" i="6"/>
  <c r="AL492" i="6"/>
  <c r="AK492" i="6"/>
  <c r="AJ492" i="6"/>
  <c r="AI492" i="6"/>
  <c r="AH492" i="6"/>
  <c r="AG492" i="6"/>
  <c r="Q492" i="6"/>
  <c r="P492" i="6"/>
  <c r="O492" i="6"/>
  <c r="N492" i="6"/>
  <c r="M492" i="6"/>
  <c r="J492" i="6"/>
  <c r="I492" i="6"/>
  <c r="AF490" i="6"/>
  <c r="AE490" i="6" s="1"/>
  <c r="H490" i="6"/>
  <c r="F490" i="6"/>
  <c r="AF489" i="6"/>
  <c r="H489" i="6"/>
  <c r="F489" i="6"/>
  <c r="AR488" i="6"/>
  <c r="Q488" i="6"/>
  <c r="P488" i="6"/>
  <c r="O488" i="6"/>
  <c r="N488" i="6"/>
  <c r="K488" i="6"/>
  <c r="J488" i="6"/>
  <c r="I488" i="6"/>
  <c r="AF487" i="6"/>
  <c r="AD487" i="6"/>
  <c r="AD482" i="6" s="1"/>
  <c r="H487" i="6"/>
  <c r="F487" i="6"/>
  <c r="AF486" i="6"/>
  <c r="H486" i="6"/>
  <c r="F486" i="6"/>
  <c r="AF485" i="6"/>
  <c r="H485" i="6"/>
  <c r="F485" i="6"/>
  <c r="AF484" i="6"/>
  <c r="L484" i="6"/>
  <c r="H484" i="6" s="1"/>
  <c r="F484" i="6"/>
  <c r="AF483" i="6"/>
  <c r="K483" i="6"/>
  <c r="K482" i="6" s="1"/>
  <c r="J483" i="6"/>
  <c r="J482" i="6" s="1"/>
  <c r="F483" i="6"/>
  <c r="AQ482" i="6"/>
  <c r="AR482" i="6" s="1"/>
  <c r="AO482" i="6"/>
  <c r="AN482" i="6"/>
  <c r="AM482" i="6"/>
  <c r="AL482" i="6"/>
  <c r="AK482" i="6"/>
  <c r="AJ482" i="6"/>
  <c r="AI482" i="6"/>
  <c r="AH482" i="6"/>
  <c r="AG482" i="6"/>
  <c r="Q482" i="6"/>
  <c r="P482" i="6"/>
  <c r="O482" i="6"/>
  <c r="N482" i="6"/>
  <c r="M482" i="6"/>
  <c r="I482" i="6"/>
  <c r="AF481" i="6"/>
  <c r="AD481" i="6"/>
  <c r="AD479" i="6" s="1"/>
  <c r="H481" i="6"/>
  <c r="F481" i="6"/>
  <c r="AF480" i="6"/>
  <c r="L480" i="6"/>
  <c r="K480" i="6"/>
  <c r="K479" i="6" s="1"/>
  <c r="F480" i="6"/>
  <c r="AQ479" i="6"/>
  <c r="AP479" i="6"/>
  <c r="AO479" i="6"/>
  <c r="AN479" i="6"/>
  <c r="AM479" i="6"/>
  <c r="AL479" i="6"/>
  <c r="AK479" i="6"/>
  <c r="AJ479" i="6"/>
  <c r="AI479" i="6"/>
  <c r="AH479" i="6"/>
  <c r="AG479" i="6"/>
  <c r="Q479" i="6"/>
  <c r="P479" i="6"/>
  <c r="O479" i="6"/>
  <c r="N479" i="6"/>
  <c r="M479" i="6"/>
  <c r="J479" i="6"/>
  <c r="I479" i="6"/>
  <c r="AF478" i="6"/>
  <c r="AD478" i="6"/>
  <c r="AD476" i="6" s="1"/>
  <c r="H478" i="6"/>
  <c r="F478" i="6"/>
  <c r="AF477" i="6"/>
  <c r="L477" i="6"/>
  <c r="L476" i="6" s="1"/>
  <c r="K477" i="6"/>
  <c r="K476" i="6" s="1"/>
  <c r="J477" i="6"/>
  <c r="J476" i="6" s="1"/>
  <c r="F477" i="6"/>
  <c r="AQ476" i="6"/>
  <c r="AP476" i="6"/>
  <c r="AO476" i="6"/>
  <c r="AN476" i="6"/>
  <c r="AM476" i="6"/>
  <c r="AL476" i="6"/>
  <c r="AK476" i="6"/>
  <c r="AJ476" i="6"/>
  <c r="AI476" i="6"/>
  <c r="AH476" i="6"/>
  <c r="AG476" i="6"/>
  <c r="Q476" i="6"/>
  <c r="P476" i="6"/>
  <c r="O476" i="6"/>
  <c r="N476" i="6"/>
  <c r="M476" i="6"/>
  <c r="I476" i="6"/>
  <c r="AF475" i="6"/>
  <c r="F475" i="6"/>
  <c r="AH474" i="6"/>
  <c r="AF474" i="6" s="1"/>
  <c r="AD474" i="6"/>
  <c r="F474" i="6"/>
  <c r="AH473" i="6"/>
  <c r="F473" i="6"/>
  <c r="AR472" i="6"/>
  <c r="AO472" i="6"/>
  <c r="AN472" i="6"/>
  <c r="AM472" i="6"/>
  <c r="AL472" i="6"/>
  <c r="AK472" i="6"/>
  <c r="AJ472" i="6"/>
  <c r="AI472" i="6"/>
  <c r="AG472" i="6"/>
  <c r="Q472" i="6"/>
  <c r="P472" i="6"/>
  <c r="O472" i="6"/>
  <c r="N472" i="6"/>
  <c r="M472" i="6"/>
  <c r="L472" i="6"/>
  <c r="K472" i="6"/>
  <c r="I472" i="6"/>
  <c r="AF471" i="6"/>
  <c r="AD471" i="6"/>
  <c r="F471" i="6"/>
  <c r="I471" i="6" s="1"/>
  <c r="AF470" i="6"/>
  <c r="AD470" i="6"/>
  <c r="H470" i="6"/>
  <c r="F470" i="6"/>
  <c r="AS470" i="6" s="1"/>
  <c r="AF469" i="6"/>
  <c r="AD469" i="6"/>
  <c r="H469" i="6"/>
  <c r="F469" i="6"/>
  <c r="AS469" i="6" s="1"/>
  <c r="AF468" i="6"/>
  <c r="AD468" i="6"/>
  <c r="H468" i="6"/>
  <c r="F468" i="6"/>
  <c r="AS468" i="6" s="1"/>
  <c r="AQ467" i="6"/>
  <c r="AR467" i="6" s="1"/>
  <c r="AO467" i="6"/>
  <c r="AN467" i="6"/>
  <c r="AM467" i="6"/>
  <c r="AL467" i="6"/>
  <c r="AK467" i="6"/>
  <c r="AJ467" i="6"/>
  <c r="AI467" i="6"/>
  <c r="AH467" i="6"/>
  <c r="AG467" i="6"/>
  <c r="Q467" i="6"/>
  <c r="P467" i="6"/>
  <c r="O467" i="6"/>
  <c r="N467" i="6"/>
  <c r="M467" i="6"/>
  <c r="L467" i="6"/>
  <c r="K467" i="6"/>
  <c r="J467" i="6"/>
  <c r="AH466" i="6"/>
  <c r="AF465" i="6"/>
  <c r="AD465" i="6"/>
  <c r="H465" i="6"/>
  <c r="F465" i="6"/>
  <c r="AS465" i="6" s="1"/>
  <c r="AR464" i="6"/>
  <c r="AO464" i="6"/>
  <c r="AN464" i="6"/>
  <c r="AM464" i="6"/>
  <c r="AL464" i="6"/>
  <c r="AK464" i="6"/>
  <c r="AJ464" i="6"/>
  <c r="AI464" i="6"/>
  <c r="AH464" i="6"/>
  <c r="AG464" i="6"/>
  <c r="Q464" i="6"/>
  <c r="P464" i="6"/>
  <c r="O464" i="6"/>
  <c r="N464" i="6"/>
  <c r="M464" i="6"/>
  <c r="L464" i="6"/>
  <c r="K464" i="6"/>
  <c r="J464" i="6"/>
  <c r="I464" i="6"/>
  <c r="AF463" i="6"/>
  <c r="AE463" i="6" s="1"/>
  <c r="AF462" i="6"/>
  <c r="AE462" i="6" s="1"/>
  <c r="AF461" i="6"/>
  <c r="AE461" i="6" s="1"/>
  <c r="H461" i="6"/>
  <c r="F461" i="6"/>
  <c r="AF460" i="6"/>
  <c r="AD460" i="6"/>
  <c r="K460" i="6"/>
  <c r="K458" i="6" s="1"/>
  <c r="F460" i="6"/>
  <c r="AS460" i="6" s="1"/>
  <c r="AF459" i="6"/>
  <c r="H459" i="6"/>
  <c r="F459" i="6"/>
  <c r="AQ458" i="6"/>
  <c r="AR458" i="6" s="1"/>
  <c r="AO458" i="6"/>
  <c r="AN458" i="6"/>
  <c r="AM458" i="6"/>
  <c r="AL458" i="6"/>
  <c r="AK458" i="6"/>
  <c r="AJ458" i="6"/>
  <c r="AI458" i="6"/>
  <c r="AH458" i="6"/>
  <c r="AG458" i="6"/>
  <c r="Q458" i="6"/>
  <c r="P458" i="6"/>
  <c r="O458" i="6"/>
  <c r="N458" i="6"/>
  <c r="M458" i="6"/>
  <c r="L458" i="6"/>
  <c r="J458" i="6"/>
  <c r="I458" i="6"/>
  <c r="AF454" i="6"/>
  <c r="AE454" i="6" s="1"/>
  <c r="H454" i="6"/>
  <c r="F454" i="6"/>
  <c r="AF453" i="6"/>
  <c r="AD453" i="6"/>
  <c r="K453" i="6"/>
  <c r="I453" i="6"/>
  <c r="F453" i="6"/>
  <c r="AS453" i="6" s="1"/>
  <c r="AF452" i="6"/>
  <c r="K452" i="6"/>
  <c r="H452" i="6" s="1"/>
  <c r="F452" i="6"/>
  <c r="AQ451" i="6"/>
  <c r="AR451" i="6" s="1"/>
  <c r="Q451" i="6"/>
  <c r="P451" i="6"/>
  <c r="O451" i="6"/>
  <c r="N451" i="6"/>
  <c r="M451" i="6"/>
  <c r="L451" i="6"/>
  <c r="J451" i="6"/>
  <c r="AF449" i="6"/>
  <c r="AE449" i="6" s="1"/>
  <c r="H449" i="6"/>
  <c r="F449" i="6"/>
  <c r="AF448" i="6"/>
  <c r="H448" i="6"/>
  <c r="F448" i="6"/>
  <c r="AF447" i="6"/>
  <c r="AD447" i="6"/>
  <c r="H447" i="6"/>
  <c r="F447" i="6"/>
  <c r="AS447" i="6" s="1"/>
  <c r="AQ446" i="6"/>
  <c r="AR446" i="6" s="1"/>
  <c r="AO446" i="6"/>
  <c r="AN446" i="6"/>
  <c r="AM446" i="6"/>
  <c r="AL446" i="6"/>
  <c r="AK446" i="6"/>
  <c r="AJ446" i="6"/>
  <c r="AI446" i="6"/>
  <c r="AH446" i="6"/>
  <c r="AG446" i="6"/>
  <c r="Q446" i="6"/>
  <c r="P446" i="6"/>
  <c r="O446" i="6"/>
  <c r="N446" i="6"/>
  <c r="M446" i="6"/>
  <c r="L446" i="6"/>
  <c r="K446" i="6"/>
  <c r="J446" i="6"/>
  <c r="I446" i="6"/>
  <c r="AF445" i="6"/>
  <c r="AE445" i="6" s="1"/>
  <c r="H445" i="6"/>
  <c r="F445" i="6"/>
  <c r="AF444" i="6"/>
  <c r="H444" i="6"/>
  <c r="F444" i="6"/>
  <c r="AF443" i="6"/>
  <c r="H443" i="6"/>
  <c r="F443" i="6"/>
  <c r="AF442" i="6"/>
  <c r="AD442" i="6"/>
  <c r="H442" i="6"/>
  <c r="F442" i="6"/>
  <c r="AS442" i="6" s="1"/>
  <c r="AQ441" i="6"/>
  <c r="AO441" i="6"/>
  <c r="AN441" i="6"/>
  <c r="AM441" i="6"/>
  <c r="AL441" i="6"/>
  <c r="AK441" i="6"/>
  <c r="AJ441" i="6"/>
  <c r="AI441" i="6"/>
  <c r="AH441" i="6"/>
  <c r="AG441" i="6"/>
  <c r="Q441" i="6"/>
  <c r="P441" i="6"/>
  <c r="O441" i="6"/>
  <c r="N441" i="6"/>
  <c r="M441" i="6"/>
  <c r="L441" i="6"/>
  <c r="K441" i="6"/>
  <c r="J441" i="6"/>
  <c r="I441" i="6"/>
  <c r="AP440" i="6"/>
  <c r="AF439" i="6"/>
  <c r="AD439" i="6"/>
  <c r="M439" i="6"/>
  <c r="M438" i="6" s="1"/>
  <c r="E439" i="6"/>
  <c r="F439" i="6" s="1"/>
  <c r="AQ438" i="6"/>
  <c r="AR438" i="6" s="1"/>
  <c r="AO438" i="6"/>
  <c r="AN438" i="6"/>
  <c r="AM438" i="6"/>
  <c r="AL438" i="6"/>
  <c r="AK438" i="6"/>
  <c r="AJ438" i="6"/>
  <c r="AI438" i="6"/>
  <c r="AH438" i="6"/>
  <c r="AG438" i="6"/>
  <c r="Q438" i="6"/>
  <c r="P438" i="6"/>
  <c r="O438" i="6"/>
  <c r="N438" i="6"/>
  <c r="L438" i="6"/>
  <c r="K438" i="6"/>
  <c r="J438" i="6"/>
  <c r="I438" i="6"/>
  <c r="AF437" i="6"/>
  <c r="AD437" i="6"/>
  <c r="H437" i="6"/>
  <c r="F437" i="6"/>
  <c r="AF436" i="6"/>
  <c r="AD436" i="6"/>
  <c r="H436" i="6"/>
  <c r="F436" i="6"/>
  <c r="AS436" i="6" s="1"/>
  <c r="AF435" i="6"/>
  <c r="AD435" i="6"/>
  <c r="H435" i="6"/>
  <c r="F435" i="6"/>
  <c r="AS435" i="6" s="1"/>
  <c r="AF434" i="6"/>
  <c r="H434" i="6"/>
  <c r="F434" i="6"/>
  <c r="AQ433" i="6"/>
  <c r="AR433" i="6" s="1"/>
  <c r="AO433" i="6"/>
  <c r="AN433" i="6"/>
  <c r="AM433" i="6"/>
  <c r="AL433" i="6"/>
  <c r="AK433" i="6"/>
  <c r="AJ433" i="6"/>
  <c r="AI433" i="6"/>
  <c r="AH433" i="6"/>
  <c r="AG433" i="6"/>
  <c r="Q433" i="6"/>
  <c r="P433" i="6"/>
  <c r="O433" i="6"/>
  <c r="N433" i="6"/>
  <c r="M433" i="6"/>
  <c r="L433" i="6"/>
  <c r="K433" i="6"/>
  <c r="J433" i="6"/>
  <c r="I433" i="6"/>
  <c r="AF432" i="6"/>
  <c r="H432" i="6"/>
  <c r="F432" i="6"/>
  <c r="AF431" i="6"/>
  <c r="AD431" i="6"/>
  <c r="H431" i="6"/>
  <c r="F431" i="6"/>
  <c r="AS431" i="6" s="1"/>
  <c r="AF430" i="6"/>
  <c r="AD430" i="6"/>
  <c r="K430" i="6"/>
  <c r="F430" i="6"/>
  <c r="AS430" i="6" s="1"/>
  <c r="AF429" i="6"/>
  <c r="AD429" i="6"/>
  <c r="H429" i="6"/>
  <c r="F429" i="6"/>
  <c r="AS429" i="6" s="1"/>
  <c r="AF428" i="6"/>
  <c r="AD428" i="6"/>
  <c r="H428" i="6"/>
  <c r="F428" i="6"/>
  <c r="AS428" i="6" s="1"/>
  <c r="AF427" i="6"/>
  <c r="H427" i="6"/>
  <c r="F427" i="6"/>
  <c r="AF426" i="6"/>
  <c r="AD426" i="6"/>
  <c r="M426" i="6"/>
  <c r="H426" i="6" s="1"/>
  <c r="F426" i="6"/>
  <c r="AS426" i="6" s="1"/>
  <c r="AQ425" i="6"/>
  <c r="AR425" i="6" s="1"/>
  <c r="AO425" i="6"/>
  <c r="AN425" i="6"/>
  <c r="AM425" i="6"/>
  <c r="AL425" i="6"/>
  <c r="AK425" i="6"/>
  <c r="AJ425" i="6"/>
  <c r="AI425" i="6"/>
  <c r="AH425" i="6"/>
  <c r="AG425" i="6"/>
  <c r="Q425" i="6"/>
  <c r="P425" i="6"/>
  <c r="O425" i="6"/>
  <c r="N425" i="6"/>
  <c r="L425" i="6"/>
  <c r="J425" i="6"/>
  <c r="I425" i="6"/>
  <c r="AF424" i="6"/>
  <c r="AD424" i="6"/>
  <c r="K424" i="6"/>
  <c r="H424" i="6" s="1"/>
  <c r="F424" i="6"/>
  <c r="AS424" i="6" s="1"/>
  <c r="AF423" i="6"/>
  <c r="AD423" i="6"/>
  <c r="H423" i="6"/>
  <c r="F423" i="6"/>
  <c r="AS423" i="6" s="1"/>
  <c r="AF422" i="6"/>
  <c r="M422" i="6"/>
  <c r="M421" i="6" s="1"/>
  <c r="K422" i="6"/>
  <c r="F422" i="6"/>
  <c r="AR421" i="6"/>
  <c r="AO421" i="6"/>
  <c r="AN421" i="6"/>
  <c r="AM421" i="6"/>
  <c r="AL421" i="6"/>
  <c r="AK421" i="6"/>
  <c r="AJ421" i="6"/>
  <c r="AI421" i="6"/>
  <c r="AH421" i="6"/>
  <c r="AG421" i="6"/>
  <c r="Q421" i="6"/>
  <c r="P421" i="6"/>
  <c r="O421" i="6"/>
  <c r="N421" i="6"/>
  <c r="L421" i="6"/>
  <c r="J421" i="6"/>
  <c r="I421" i="6"/>
  <c r="AF420" i="6"/>
  <c r="H420" i="6"/>
  <c r="F420" i="6"/>
  <c r="AF419" i="6"/>
  <c r="AD419" i="6"/>
  <c r="H419" i="6"/>
  <c r="F419" i="6"/>
  <c r="AS419" i="6" s="1"/>
  <c r="AF418" i="6"/>
  <c r="AD418" i="6"/>
  <c r="H418" i="6"/>
  <c r="F418" i="6"/>
  <c r="AS418" i="6" s="1"/>
  <c r="AF417" i="6"/>
  <c r="AD417" i="6"/>
  <c r="H417" i="6"/>
  <c r="F417" i="6"/>
  <c r="AS417" i="6" s="1"/>
  <c r="AF416" i="6"/>
  <c r="AD416" i="6"/>
  <c r="H416" i="6"/>
  <c r="F416" i="6"/>
  <c r="AS416" i="6" s="1"/>
  <c r="AF415" i="6"/>
  <c r="AD415" i="6"/>
  <c r="H415" i="6"/>
  <c r="F415" i="6"/>
  <c r="AS415" i="6" s="1"/>
  <c r="AF414" i="6"/>
  <c r="AD414" i="6"/>
  <c r="H414" i="6"/>
  <c r="F414" i="6"/>
  <c r="AS414" i="6" s="1"/>
  <c r="AQ413" i="6"/>
  <c r="AO413" i="6"/>
  <c r="AN413" i="6"/>
  <c r="AM413" i="6"/>
  <c r="AL413" i="6"/>
  <c r="AK413" i="6"/>
  <c r="AJ413" i="6"/>
  <c r="AI413" i="6"/>
  <c r="AH413" i="6"/>
  <c r="AG413" i="6"/>
  <c r="Q413" i="6"/>
  <c r="P413" i="6"/>
  <c r="O413" i="6"/>
  <c r="N413" i="6"/>
  <c r="M413" i="6"/>
  <c r="L413" i="6"/>
  <c r="K413" i="6"/>
  <c r="J413" i="6"/>
  <c r="I413" i="6"/>
  <c r="AF412" i="6"/>
  <c r="H412" i="6"/>
  <c r="F412" i="6"/>
  <c r="AF411" i="6"/>
  <c r="H411" i="6"/>
  <c r="F411" i="6"/>
  <c r="AF410" i="6"/>
  <c r="AD410" i="6"/>
  <c r="H410" i="6"/>
  <c r="F410" i="6"/>
  <c r="AS410" i="6" s="1"/>
  <c r="AF409" i="6"/>
  <c r="AD409" i="6"/>
  <c r="H409" i="6"/>
  <c r="F409" i="6"/>
  <c r="AS409" i="6" s="1"/>
  <c r="AR408" i="6"/>
  <c r="AO408" i="6"/>
  <c r="AN408" i="6"/>
  <c r="AM408" i="6"/>
  <c r="AL408" i="6"/>
  <c r="AK408" i="6"/>
  <c r="AJ408" i="6"/>
  <c r="AI408" i="6"/>
  <c r="AH408" i="6"/>
  <c r="AG408" i="6"/>
  <c r="Q408" i="6"/>
  <c r="P408" i="6"/>
  <c r="O408" i="6"/>
  <c r="N408" i="6"/>
  <c r="M408" i="6"/>
  <c r="L408" i="6"/>
  <c r="K408" i="6"/>
  <c r="J408" i="6"/>
  <c r="I408" i="6"/>
  <c r="AP407" i="6"/>
  <c r="AF406" i="6"/>
  <c r="AD406" i="6"/>
  <c r="H406" i="6"/>
  <c r="F406" i="6"/>
  <c r="AS406" i="6" s="1"/>
  <c r="AQ405" i="6"/>
  <c r="AO405" i="6"/>
  <c r="AN405" i="6"/>
  <c r="AM405" i="6"/>
  <c r="AL405" i="6"/>
  <c r="AJ405" i="6"/>
  <c r="AI405" i="6"/>
  <c r="AH405" i="6"/>
  <c r="AG405" i="6"/>
  <c r="Q405" i="6"/>
  <c r="P405" i="6"/>
  <c r="O405" i="6"/>
  <c r="N405" i="6"/>
  <c r="L405" i="6"/>
  <c r="K405" i="6"/>
  <c r="J405" i="6"/>
  <c r="I405" i="6"/>
  <c r="AF403" i="6"/>
  <c r="AE403" i="6" s="1"/>
  <c r="H403" i="6"/>
  <c r="F403" i="6"/>
  <c r="AF402" i="6"/>
  <c r="H402" i="6"/>
  <c r="F402" i="6"/>
  <c r="AF401" i="6"/>
  <c r="AD401" i="6"/>
  <c r="H401" i="6"/>
  <c r="F401" i="6"/>
  <c r="AS401" i="6" s="1"/>
  <c r="AF400" i="6"/>
  <c r="AD400" i="6"/>
  <c r="H400" i="6"/>
  <c r="F400" i="6"/>
  <c r="AF399" i="6"/>
  <c r="H399" i="6"/>
  <c r="G399" i="6" s="1"/>
  <c r="AR398" i="6"/>
  <c r="Q398" i="6"/>
  <c r="P398" i="6"/>
  <c r="O398" i="6"/>
  <c r="N398" i="6"/>
  <c r="M398" i="6"/>
  <c r="L398" i="6"/>
  <c r="K398" i="6"/>
  <c r="J398" i="6"/>
  <c r="I398" i="6"/>
  <c r="AF397" i="6"/>
  <c r="H397" i="6"/>
  <c r="F397" i="6"/>
  <c r="AF396" i="6"/>
  <c r="H396" i="6"/>
  <c r="F396" i="6"/>
  <c r="AF395" i="6"/>
  <c r="AD395" i="6"/>
  <c r="H395" i="6"/>
  <c r="G395" i="6" s="1"/>
  <c r="AQ394" i="6"/>
  <c r="AR394" i="6" s="1"/>
  <c r="AO394" i="6"/>
  <c r="AN394" i="6"/>
  <c r="AM394" i="6"/>
  <c r="AL394" i="6"/>
  <c r="AK394" i="6"/>
  <c r="AJ394" i="6"/>
  <c r="AI394" i="6"/>
  <c r="AH394" i="6"/>
  <c r="AG394" i="6"/>
  <c r="Q394" i="6"/>
  <c r="P394" i="6"/>
  <c r="O394" i="6"/>
  <c r="N394" i="6"/>
  <c r="M394" i="6"/>
  <c r="L394" i="6"/>
  <c r="K394" i="6"/>
  <c r="J394" i="6"/>
  <c r="I394" i="6"/>
  <c r="AF393" i="6"/>
  <c r="AD393" i="6"/>
  <c r="H393" i="6"/>
  <c r="F393" i="6"/>
  <c r="AF392" i="6"/>
  <c r="AD392" i="6"/>
  <c r="H392" i="6"/>
  <c r="F392" i="6"/>
  <c r="AS392" i="6" s="1"/>
  <c r="AF391" i="6"/>
  <c r="H391" i="6"/>
  <c r="F391" i="6"/>
  <c r="AF390" i="6"/>
  <c r="AD390" i="6"/>
  <c r="H390" i="6"/>
  <c r="F390" i="6"/>
  <c r="AQ389" i="6"/>
  <c r="AR389" i="6" s="1"/>
  <c r="AO389" i="6"/>
  <c r="AN389" i="6"/>
  <c r="AM389" i="6"/>
  <c r="AL389" i="6"/>
  <c r="AK389" i="6"/>
  <c r="AJ389" i="6"/>
  <c r="AI389" i="6"/>
  <c r="AH389" i="6"/>
  <c r="AG389" i="6"/>
  <c r="Q389" i="6"/>
  <c r="P389" i="6"/>
  <c r="O389" i="6"/>
  <c r="N389" i="6"/>
  <c r="M389" i="6"/>
  <c r="L389" i="6"/>
  <c r="K389" i="6"/>
  <c r="J389" i="6"/>
  <c r="I389" i="6"/>
  <c r="AG388" i="6"/>
  <c r="AF388" i="6" s="1"/>
  <c r="AE388" i="6" s="1"/>
  <c r="F388" i="6"/>
  <c r="I388" i="6" s="1"/>
  <c r="H388" i="6" s="1"/>
  <c r="G388" i="6" s="1"/>
  <c r="AF387" i="6"/>
  <c r="AD387" i="6"/>
  <c r="H387" i="6"/>
  <c r="F387" i="6"/>
  <c r="AS387" i="6" s="1"/>
  <c r="AF386" i="6"/>
  <c r="AD386" i="6"/>
  <c r="H386" i="6"/>
  <c r="F386" i="6"/>
  <c r="AS386" i="6" s="1"/>
  <c r="AF385" i="6"/>
  <c r="AD385" i="6"/>
  <c r="H385" i="6"/>
  <c r="F385" i="6"/>
  <c r="AR384" i="6"/>
  <c r="AO384" i="6"/>
  <c r="AN384" i="6"/>
  <c r="AM384" i="6"/>
  <c r="AL384" i="6"/>
  <c r="AK384" i="6"/>
  <c r="AJ384" i="6"/>
  <c r="AI384" i="6"/>
  <c r="AH384" i="6"/>
  <c r="Q384" i="6"/>
  <c r="P384" i="6"/>
  <c r="O384" i="6"/>
  <c r="N384" i="6"/>
  <c r="M384" i="6"/>
  <c r="L384" i="6"/>
  <c r="K384" i="6"/>
  <c r="J384" i="6"/>
  <c r="AP383" i="6"/>
  <c r="AF382" i="6"/>
  <c r="AD382" i="6"/>
  <c r="L382" i="6"/>
  <c r="L381" i="6" s="1"/>
  <c r="K382" i="6"/>
  <c r="K381" i="6" s="1"/>
  <c r="E382" i="6"/>
  <c r="F382" i="6" s="1"/>
  <c r="AQ381" i="6"/>
  <c r="AR381" i="6" s="1"/>
  <c r="AO381" i="6"/>
  <c r="AN381" i="6"/>
  <c r="AM381" i="6"/>
  <c r="AL381" i="6"/>
  <c r="AK381" i="6"/>
  <c r="AJ381" i="6"/>
  <c r="AI381" i="6"/>
  <c r="AH381" i="6"/>
  <c r="AG381" i="6"/>
  <c r="Q381" i="6"/>
  <c r="P381" i="6"/>
  <c r="O381" i="6"/>
  <c r="N381" i="6"/>
  <c r="M381" i="6"/>
  <c r="J381" i="6"/>
  <c r="I381" i="6"/>
  <c r="AF379" i="6"/>
  <c r="AE379" i="6" s="1"/>
  <c r="H379" i="6"/>
  <c r="F379" i="6"/>
  <c r="F378" i="6" s="1"/>
  <c r="Q378" i="6"/>
  <c r="P378" i="6"/>
  <c r="O378" i="6"/>
  <c r="N378" i="6"/>
  <c r="M378" i="6"/>
  <c r="L378" i="6"/>
  <c r="K378" i="6"/>
  <c r="J378" i="6"/>
  <c r="I378" i="6"/>
  <c r="AF377" i="6"/>
  <c r="AD377" i="6"/>
  <c r="AD375" i="6" s="1"/>
  <c r="H377" i="6"/>
  <c r="F377" i="6"/>
  <c r="AF376" i="6"/>
  <c r="L376" i="6"/>
  <c r="H376" i="6" s="1"/>
  <c r="E376" i="6"/>
  <c r="F376" i="6" s="1"/>
  <c r="AQ375" i="6"/>
  <c r="AR375" i="6" s="1"/>
  <c r="AO375" i="6"/>
  <c r="AN375" i="6"/>
  <c r="AM375" i="6"/>
  <c r="AL375" i="6"/>
  <c r="AK375" i="6"/>
  <c r="AJ375" i="6"/>
  <c r="AI375" i="6"/>
  <c r="AH375" i="6"/>
  <c r="AG375" i="6"/>
  <c r="Q375" i="6"/>
  <c r="P375" i="6"/>
  <c r="O375" i="6"/>
  <c r="N375" i="6"/>
  <c r="M375" i="6"/>
  <c r="K375" i="6"/>
  <c r="J375" i="6"/>
  <c r="I375" i="6"/>
  <c r="AF374" i="6"/>
  <c r="AD374" i="6"/>
  <c r="AD372" i="6" s="1"/>
  <c r="H374" i="6"/>
  <c r="F374" i="6"/>
  <c r="AF373" i="6"/>
  <c r="L373" i="6"/>
  <c r="L372" i="6" s="1"/>
  <c r="K373" i="6"/>
  <c r="E373" i="6"/>
  <c r="F373" i="6" s="1"/>
  <c r="AQ372" i="6"/>
  <c r="AR372" i="6" s="1"/>
  <c r="AO372" i="6"/>
  <c r="AN372" i="6"/>
  <c r="AM372" i="6"/>
  <c r="AL372" i="6"/>
  <c r="AK372" i="6"/>
  <c r="AJ372" i="6"/>
  <c r="AI372" i="6"/>
  <c r="AH372" i="6"/>
  <c r="AG372" i="6"/>
  <c r="Q372" i="6"/>
  <c r="P372" i="6"/>
  <c r="O372" i="6"/>
  <c r="N372" i="6"/>
  <c r="M372" i="6"/>
  <c r="J372" i="6"/>
  <c r="I372" i="6"/>
  <c r="AF371" i="6"/>
  <c r="AD371" i="6"/>
  <c r="H371" i="6"/>
  <c r="F371" i="6"/>
  <c r="AF370" i="6"/>
  <c r="AD370" i="6"/>
  <c r="H370" i="6"/>
  <c r="F370" i="6"/>
  <c r="AF369" i="6"/>
  <c r="AD369" i="6"/>
  <c r="H369" i="6"/>
  <c r="F369" i="6"/>
  <c r="AQ368" i="6"/>
  <c r="AO368" i="6"/>
  <c r="AN368" i="6"/>
  <c r="AM368" i="6"/>
  <c r="AL368" i="6"/>
  <c r="AK368" i="6"/>
  <c r="AJ368" i="6"/>
  <c r="AI368" i="6"/>
  <c r="AH368" i="6"/>
  <c r="AG368" i="6"/>
  <c r="Q368" i="6"/>
  <c r="P368" i="6"/>
  <c r="O368" i="6"/>
  <c r="N368" i="6"/>
  <c r="M368" i="6"/>
  <c r="L368" i="6"/>
  <c r="K368" i="6"/>
  <c r="J368" i="6"/>
  <c r="I368" i="6"/>
  <c r="AF367" i="6"/>
  <c r="AD367" i="6"/>
  <c r="F367" i="6"/>
  <c r="I367" i="6" s="1"/>
  <c r="H367" i="6" s="1"/>
  <c r="G367" i="6" s="1"/>
  <c r="AF366" i="6"/>
  <c r="AD366" i="6"/>
  <c r="H366" i="6"/>
  <c r="F366" i="6"/>
  <c r="AS366" i="6" s="1"/>
  <c r="AF365" i="6"/>
  <c r="AD365" i="6"/>
  <c r="H365" i="6"/>
  <c r="F365" i="6"/>
  <c r="AS365" i="6" s="1"/>
  <c r="AF364" i="6"/>
  <c r="AD364" i="6"/>
  <c r="H364" i="6"/>
  <c r="F364" i="6"/>
  <c r="AS364" i="6" s="1"/>
  <c r="AQ363" i="6"/>
  <c r="AR363" i="6" s="1"/>
  <c r="AO363" i="6"/>
  <c r="AN363" i="6"/>
  <c r="AM363" i="6"/>
  <c r="AL363" i="6"/>
  <c r="AK363" i="6"/>
  <c r="AJ363" i="6"/>
  <c r="AI363" i="6"/>
  <c r="AH363" i="6"/>
  <c r="AG363" i="6"/>
  <c r="Q363" i="6"/>
  <c r="P363" i="6"/>
  <c r="O363" i="6"/>
  <c r="N363" i="6"/>
  <c r="M363" i="6"/>
  <c r="L363" i="6"/>
  <c r="K363" i="6"/>
  <c r="J363" i="6"/>
  <c r="AP362" i="6"/>
  <c r="AF361" i="6"/>
  <c r="AD361" i="6"/>
  <c r="L361" i="6"/>
  <c r="L360" i="6" s="1"/>
  <c r="K361" i="6"/>
  <c r="K360" i="6" s="1"/>
  <c r="F361" i="6"/>
  <c r="AR360" i="6"/>
  <c r="AO360" i="6"/>
  <c r="AN360" i="6"/>
  <c r="AM360" i="6"/>
  <c r="AL360" i="6"/>
  <c r="AK360" i="6"/>
  <c r="AJ360" i="6"/>
  <c r="AI360" i="6"/>
  <c r="AH360" i="6"/>
  <c r="AG360" i="6"/>
  <c r="Q360" i="6"/>
  <c r="P360" i="6"/>
  <c r="O360" i="6"/>
  <c r="N360" i="6"/>
  <c r="M360" i="6"/>
  <c r="J360" i="6"/>
  <c r="I360" i="6"/>
  <c r="AF359" i="6"/>
  <c r="AD359" i="6"/>
  <c r="H359" i="6"/>
  <c r="AT359" i="6" s="1"/>
  <c r="F359" i="6"/>
  <c r="AS359" i="6" s="1"/>
  <c r="AF358" i="6"/>
  <c r="AD358" i="6"/>
  <c r="H358" i="6"/>
  <c r="AT358" i="6" s="1"/>
  <c r="F358" i="6"/>
  <c r="AS358" i="6" s="1"/>
  <c r="AF357" i="6"/>
  <c r="AD357" i="6"/>
  <c r="H357" i="6"/>
  <c r="F357" i="6"/>
  <c r="AS357" i="6" s="1"/>
  <c r="AF356" i="6"/>
  <c r="AD356" i="6"/>
  <c r="H356" i="6"/>
  <c r="F356" i="6"/>
  <c r="AS356" i="6" s="1"/>
  <c r="AF355" i="6"/>
  <c r="H355" i="6"/>
  <c r="F355" i="6"/>
  <c r="AF354" i="6"/>
  <c r="AD354" i="6"/>
  <c r="H354" i="6"/>
  <c r="F354" i="6"/>
  <c r="AS354" i="6" s="1"/>
  <c r="AF353" i="6"/>
  <c r="AD353" i="6"/>
  <c r="H353" i="6"/>
  <c r="F353" i="6"/>
  <c r="AS353" i="6" s="1"/>
  <c r="AQ352" i="6"/>
  <c r="AR352" i="6" s="1"/>
  <c r="AO352" i="6"/>
  <c r="AN352" i="6"/>
  <c r="AM352" i="6"/>
  <c r="AL352" i="6"/>
  <c r="AK352" i="6"/>
  <c r="AJ352" i="6"/>
  <c r="AI352" i="6"/>
  <c r="AH352" i="6"/>
  <c r="AG352" i="6"/>
  <c r="Q352" i="6"/>
  <c r="P352" i="6"/>
  <c r="O352" i="6"/>
  <c r="N352" i="6"/>
  <c r="M352" i="6"/>
  <c r="L352" i="6"/>
  <c r="K352" i="6"/>
  <c r="J352" i="6"/>
  <c r="I352" i="6"/>
  <c r="AF351" i="6"/>
  <c r="AD351" i="6"/>
  <c r="H351" i="6"/>
  <c r="E351" i="6"/>
  <c r="F351" i="6" s="1"/>
  <c r="AS351" i="6" s="1"/>
  <c r="AF350" i="6"/>
  <c r="AD350" i="6"/>
  <c r="H350" i="6"/>
  <c r="E350" i="6"/>
  <c r="F350" i="6" s="1"/>
  <c r="AS350" i="6" s="1"/>
  <c r="AF349" i="6"/>
  <c r="AD349" i="6"/>
  <c r="H349" i="6"/>
  <c r="F349" i="6"/>
  <c r="AS349" i="6" s="1"/>
  <c r="AF348" i="6"/>
  <c r="L348" i="6"/>
  <c r="L347" i="6" s="1"/>
  <c r="K348" i="6"/>
  <c r="F348" i="6"/>
  <c r="AQ347" i="6"/>
  <c r="AR347" i="6" s="1"/>
  <c r="AO347" i="6"/>
  <c r="AN347" i="6"/>
  <c r="AM347" i="6"/>
  <c r="AL347" i="6"/>
  <c r="AK347" i="6"/>
  <c r="AJ347" i="6"/>
  <c r="AI347" i="6"/>
  <c r="AH347" i="6"/>
  <c r="AG347" i="6"/>
  <c r="Q347" i="6"/>
  <c r="P347" i="6"/>
  <c r="O347" i="6"/>
  <c r="N347" i="6"/>
  <c r="M347" i="6"/>
  <c r="J347" i="6"/>
  <c r="I347" i="6"/>
  <c r="AF346" i="6"/>
  <c r="AD346" i="6"/>
  <c r="H346" i="6"/>
  <c r="F346" i="6"/>
  <c r="AS346" i="6" s="1"/>
  <c r="AF345" i="6"/>
  <c r="AD345" i="6"/>
  <c r="H345" i="6"/>
  <c r="F345" i="6"/>
  <c r="AS345" i="6" s="1"/>
  <c r="AF344" i="6"/>
  <c r="AD344" i="6"/>
  <c r="H344" i="6"/>
  <c r="E344" i="6"/>
  <c r="F344" i="6" s="1"/>
  <c r="AS344" i="6" s="1"/>
  <c r="AF343" i="6"/>
  <c r="AD343" i="6"/>
  <c r="H343" i="6"/>
  <c r="E343" i="6"/>
  <c r="F343" i="6" s="1"/>
  <c r="AS343" i="6" s="1"/>
  <c r="AF342" i="6"/>
  <c r="H342" i="6"/>
  <c r="F342" i="6"/>
  <c r="AF341" i="6"/>
  <c r="AD341" i="6"/>
  <c r="H341" i="6"/>
  <c r="E341" i="6"/>
  <c r="F341" i="6" s="1"/>
  <c r="AQ340" i="6"/>
  <c r="AP340" i="6"/>
  <c r="AO340" i="6"/>
  <c r="AN340" i="6"/>
  <c r="AM340" i="6"/>
  <c r="AL340" i="6"/>
  <c r="AK340" i="6"/>
  <c r="AJ340" i="6"/>
  <c r="AI340" i="6"/>
  <c r="AH340" i="6"/>
  <c r="AG340" i="6"/>
  <c r="Q340" i="6"/>
  <c r="P340" i="6"/>
  <c r="O340" i="6"/>
  <c r="N340" i="6"/>
  <c r="M340" i="6"/>
  <c r="L340" i="6"/>
  <c r="K340" i="6"/>
  <c r="J340" i="6"/>
  <c r="I340" i="6"/>
  <c r="AF339" i="6"/>
  <c r="AD339" i="6"/>
  <c r="J339" i="6"/>
  <c r="H339" i="6" s="1"/>
  <c r="F339" i="6"/>
  <c r="AS339" i="6" s="1"/>
  <c r="AF338" i="6"/>
  <c r="AD338" i="6"/>
  <c r="H338" i="6"/>
  <c r="F338" i="6"/>
  <c r="AS338" i="6" s="1"/>
  <c r="AF337" i="6"/>
  <c r="H337" i="6"/>
  <c r="F337" i="6"/>
  <c r="AF336" i="6"/>
  <c r="H336" i="6"/>
  <c r="F336" i="6"/>
  <c r="AQ335" i="6"/>
  <c r="AR335" i="6" s="1"/>
  <c r="AO335" i="6"/>
  <c r="AN335" i="6"/>
  <c r="AM335" i="6"/>
  <c r="AL335" i="6"/>
  <c r="AK335" i="6"/>
  <c r="AJ335" i="6"/>
  <c r="AI335" i="6"/>
  <c r="AH335" i="6"/>
  <c r="AG335" i="6"/>
  <c r="Q335" i="6"/>
  <c r="P335" i="6"/>
  <c r="O335" i="6"/>
  <c r="N335" i="6"/>
  <c r="M335" i="6"/>
  <c r="L335" i="6"/>
  <c r="K335" i="6"/>
  <c r="I335" i="6"/>
  <c r="AF334" i="6"/>
  <c r="AE334" i="6" s="1"/>
  <c r="H334" i="6"/>
  <c r="F334" i="6"/>
  <c r="AF333" i="6"/>
  <c r="AD333" i="6"/>
  <c r="H333" i="6"/>
  <c r="F333" i="6"/>
  <c r="AS333" i="6" s="1"/>
  <c r="AF332" i="6"/>
  <c r="H332" i="6"/>
  <c r="F332" i="6"/>
  <c r="AF331" i="6"/>
  <c r="AD331" i="6"/>
  <c r="H331" i="6"/>
  <c r="F331" i="6"/>
  <c r="AS331" i="6" s="1"/>
  <c r="AR330" i="6"/>
  <c r="AO330" i="6"/>
  <c r="AN330" i="6"/>
  <c r="AM330" i="6"/>
  <c r="AL330" i="6"/>
  <c r="AK330" i="6"/>
  <c r="AJ330" i="6"/>
  <c r="AI330" i="6"/>
  <c r="AH330" i="6"/>
  <c r="AG330" i="6"/>
  <c r="Q330" i="6"/>
  <c r="P330" i="6"/>
  <c r="O330" i="6"/>
  <c r="N330" i="6"/>
  <c r="M330" i="6"/>
  <c r="L330" i="6"/>
  <c r="K330" i="6"/>
  <c r="J330" i="6"/>
  <c r="I330" i="6"/>
  <c r="AR328" i="6"/>
  <c r="AF328" i="6"/>
  <c r="H328" i="6"/>
  <c r="F328" i="6"/>
  <c r="AR327" i="6"/>
  <c r="AF327" i="6"/>
  <c r="H327" i="6"/>
  <c r="F327" i="6"/>
  <c r="AR326" i="6"/>
  <c r="AF326" i="6"/>
  <c r="H326" i="6"/>
  <c r="F326" i="6"/>
  <c r="AR325" i="6"/>
  <c r="AF325" i="6"/>
  <c r="H325" i="6"/>
  <c r="F325" i="6"/>
  <c r="AR324" i="6"/>
  <c r="AF324" i="6"/>
  <c r="H324" i="6"/>
  <c r="F324" i="6"/>
  <c r="AQ323" i="6"/>
  <c r="AR323" i="6" s="1"/>
  <c r="AF323" i="6"/>
  <c r="H323" i="6"/>
  <c r="F323" i="6"/>
  <c r="AR322" i="6"/>
  <c r="AF322" i="6"/>
  <c r="H322" i="6"/>
  <c r="F322" i="6"/>
  <c r="AR321" i="6"/>
  <c r="AF321" i="6"/>
  <c r="H321" i="6"/>
  <c r="F321" i="6"/>
  <c r="AR320" i="6"/>
  <c r="AF320" i="6"/>
  <c r="H320" i="6"/>
  <c r="F320" i="6"/>
  <c r="AR319" i="6"/>
  <c r="AF319" i="6"/>
  <c r="H319" i="6"/>
  <c r="F319" i="6"/>
  <c r="AR318" i="6"/>
  <c r="AF318" i="6"/>
  <c r="H318" i="6"/>
  <c r="F318" i="6"/>
  <c r="AR317" i="6"/>
  <c r="AF317" i="6"/>
  <c r="H317" i="6"/>
  <c r="F317" i="6"/>
  <c r="AF316" i="6"/>
  <c r="AD316" i="6"/>
  <c r="H316" i="6"/>
  <c r="F316" i="6"/>
  <c r="AF315" i="6"/>
  <c r="AD315" i="6"/>
  <c r="H315" i="6"/>
  <c r="F315" i="6"/>
  <c r="AS315" i="6" s="1"/>
  <c r="AF314" i="6"/>
  <c r="AD314" i="6"/>
  <c r="H314" i="6"/>
  <c r="F314" i="6"/>
  <c r="AF313" i="6"/>
  <c r="H313" i="6"/>
  <c r="F313" i="6"/>
  <c r="AR312" i="6"/>
  <c r="AO312" i="6"/>
  <c r="AN312" i="6"/>
  <c r="AM312" i="6"/>
  <c r="AL312" i="6"/>
  <c r="AK312" i="6"/>
  <c r="AJ312" i="6"/>
  <c r="AI312" i="6"/>
  <c r="AH312" i="6"/>
  <c r="AG312" i="6"/>
  <c r="Q312" i="6"/>
  <c r="P312" i="6"/>
  <c r="O312" i="6"/>
  <c r="N312" i="6"/>
  <c r="M312" i="6"/>
  <c r="L312" i="6"/>
  <c r="K312" i="6"/>
  <c r="J312" i="6"/>
  <c r="I312" i="6"/>
  <c r="AF311" i="6"/>
  <c r="AD311" i="6"/>
  <c r="H311" i="6"/>
  <c r="F311" i="6"/>
  <c r="AF310" i="6"/>
  <c r="AD310" i="6"/>
  <c r="H310" i="6"/>
  <c r="F310" i="6"/>
  <c r="AS310" i="6" s="1"/>
  <c r="AF309" i="6"/>
  <c r="AD309" i="6"/>
  <c r="H309" i="6"/>
  <c r="F309" i="6"/>
  <c r="AS309" i="6" s="1"/>
  <c r="AR308" i="6"/>
  <c r="AO308" i="6"/>
  <c r="AN308" i="6"/>
  <c r="AM308" i="6"/>
  <c r="AL308" i="6"/>
  <c r="AK308" i="6"/>
  <c r="AJ308" i="6"/>
  <c r="AI308" i="6"/>
  <c r="AH308" i="6"/>
  <c r="AG308" i="6"/>
  <c r="Q308" i="6"/>
  <c r="P308" i="6"/>
  <c r="O308" i="6"/>
  <c r="N308" i="6"/>
  <c r="M308" i="6"/>
  <c r="L308" i="6"/>
  <c r="K308" i="6"/>
  <c r="J308" i="6"/>
  <c r="I308" i="6"/>
  <c r="AF307" i="6"/>
  <c r="AD307" i="6"/>
  <c r="H307" i="6"/>
  <c r="F307" i="6"/>
  <c r="AF306" i="6"/>
  <c r="AD306" i="6"/>
  <c r="I306" i="6"/>
  <c r="H306" i="6" s="1"/>
  <c r="F306" i="6"/>
  <c r="AS306" i="6" s="1"/>
  <c r="AR305" i="6"/>
  <c r="AO305" i="6"/>
  <c r="AN305" i="6"/>
  <c r="AM305" i="6"/>
  <c r="AL305" i="6"/>
  <c r="AK305" i="6"/>
  <c r="AJ305" i="6"/>
  <c r="AI305" i="6"/>
  <c r="AH305" i="6"/>
  <c r="AG305" i="6"/>
  <c r="Q305" i="6"/>
  <c r="P305" i="6"/>
  <c r="O305" i="6"/>
  <c r="N305" i="6"/>
  <c r="M305" i="6"/>
  <c r="L305" i="6"/>
  <c r="K305" i="6"/>
  <c r="J305" i="6"/>
  <c r="AF304" i="6"/>
  <c r="AD304" i="6"/>
  <c r="H304" i="6"/>
  <c r="F304" i="6"/>
  <c r="AF303" i="6"/>
  <c r="AD303" i="6"/>
  <c r="H303" i="6"/>
  <c r="F303" i="6"/>
  <c r="AS303" i="6" s="1"/>
  <c r="AQ302" i="6"/>
  <c r="AR302" i="6" s="1"/>
  <c r="AO302" i="6"/>
  <c r="AN302" i="6"/>
  <c r="AM302" i="6"/>
  <c r="AL302" i="6"/>
  <c r="AK302" i="6"/>
  <c r="AJ302" i="6"/>
  <c r="AI302" i="6"/>
  <c r="AH302" i="6"/>
  <c r="AG302" i="6"/>
  <c r="Q302" i="6"/>
  <c r="P302" i="6"/>
  <c r="O302" i="6"/>
  <c r="N302" i="6"/>
  <c r="M302" i="6"/>
  <c r="L302" i="6"/>
  <c r="K302" i="6"/>
  <c r="J302" i="6"/>
  <c r="I302" i="6"/>
  <c r="AF301" i="6"/>
  <c r="AE301" i="6" s="1"/>
  <c r="AF300" i="6"/>
  <c r="AD300" i="6"/>
  <c r="H300" i="6"/>
  <c r="F300" i="6"/>
  <c r="AF299" i="6"/>
  <c r="AD299" i="6"/>
  <c r="H299" i="6"/>
  <c r="F299" i="6"/>
  <c r="AR298" i="6"/>
  <c r="AO298" i="6"/>
  <c r="AN298" i="6"/>
  <c r="AM298" i="6"/>
  <c r="AL298" i="6"/>
  <c r="AK298" i="6"/>
  <c r="AJ298" i="6"/>
  <c r="AI298" i="6"/>
  <c r="AH298" i="6"/>
  <c r="AG298" i="6"/>
  <c r="Q298" i="6"/>
  <c r="P298" i="6"/>
  <c r="O298" i="6"/>
  <c r="N298" i="6"/>
  <c r="M298" i="6"/>
  <c r="L298" i="6"/>
  <c r="K298" i="6"/>
  <c r="J298" i="6"/>
  <c r="I298" i="6"/>
  <c r="AF297" i="6"/>
  <c r="H297" i="6"/>
  <c r="F297" i="6"/>
  <c r="AF296" i="6"/>
  <c r="H296" i="6"/>
  <c r="F296" i="6"/>
  <c r="AF295" i="6"/>
  <c r="H295" i="6"/>
  <c r="F295" i="6"/>
  <c r="AF294" i="6"/>
  <c r="H294" i="6"/>
  <c r="F294" i="6"/>
  <c r="AQ293" i="6"/>
  <c r="AR293" i="6" s="1"/>
  <c r="AO293" i="6"/>
  <c r="AN293" i="6"/>
  <c r="AM293" i="6"/>
  <c r="AL293" i="6"/>
  <c r="AK293" i="6"/>
  <c r="AJ293" i="6"/>
  <c r="AI293" i="6"/>
  <c r="AH293" i="6"/>
  <c r="AG293" i="6"/>
  <c r="AD293" i="6"/>
  <c r="Q293" i="6"/>
  <c r="P293" i="6"/>
  <c r="O293" i="6"/>
  <c r="N293" i="6"/>
  <c r="M293" i="6"/>
  <c r="L293" i="6"/>
  <c r="K293" i="6"/>
  <c r="J293" i="6"/>
  <c r="I293" i="6"/>
  <c r="AF292" i="6"/>
  <c r="H292" i="6"/>
  <c r="F292" i="6"/>
  <c r="AF291" i="6"/>
  <c r="H291" i="6"/>
  <c r="F291" i="6"/>
  <c r="AF290" i="6"/>
  <c r="H290" i="6"/>
  <c r="F290" i="6"/>
  <c r="AF289" i="6"/>
  <c r="H289" i="6"/>
  <c r="F289" i="6"/>
  <c r="AQ288" i="6"/>
  <c r="AP288" i="6"/>
  <c r="AP275" i="6" s="1"/>
  <c r="AO288" i="6"/>
  <c r="AN288" i="6"/>
  <c r="AM288" i="6"/>
  <c r="AL288" i="6"/>
  <c r="AK288" i="6"/>
  <c r="AJ288" i="6"/>
  <c r="AI288" i="6"/>
  <c r="AH288" i="6"/>
  <c r="AG288" i="6"/>
  <c r="AD288" i="6"/>
  <c r="Q288" i="6"/>
  <c r="P288" i="6"/>
  <c r="O288" i="6"/>
  <c r="N288" i="6"/>
  <c r="M288" i="6"/>
  <c r="L288" i="6"/>
  <c r="K288" i="6"/>
  <c r="J288" i="6"/>
  <c r="I288" i="6"/>
  <c r="AF287" i="6"/>
  <c r="AE287" i="6" s="1"/>
  <c r="H287" i="6"/>
  <c r="F287" i="6"/>
  <c r="AF286" i="6"/>
  <c r="H286" i="6"/>
  <c r="F286" i="6"/>
  <c r="AR285" i="6"/>
  <c r="AO285" i="6"/>
  <c r="AN285" i="6"/>
  <c r="AM285" i="6"/>
  <c r="AL285" i="6"/>
  <c r="AK285" i="6"/>
  <c r="AJ285" i="6"/>
  <c r="AI285" i="6"/>
  <c r="AH285" i="6"/>
  <c r="AG285" i="6"/>
  <c r="Q285" i="6"/>
  <c r="P285" i="6"/>
  <c r="O285" i="6"/>
  <c r="N285" i="6"/>
  <c r="M285" i="6"/>
  <c r="L285" i="6"/>
  <c r="K285" i="6"/>
  <c r="J285" i="6"/>
  <c r="I285" i="6"/>
  <c r="AF284" i="6"/>
  <c r="AD284" i="6"/>
  <c r="H284" i="6"/>
  <c r="F284" i="6"/>
  <c r="AS284" i="6" s="1"/>
  <c r="AF283" i="6"/>
  <c r="AD283" i="6"/>
  <c r="H283" i="6"/>
  <c r="F283" i="6"/>
  <c r="AF282" i="6"/>
  <c r="H282" i="6"/>
  <c r="F282" i="6"/>
  <c r="AR281" i="6"/>
  <c r="AO281" i="6"/>
  <c r="AN281" i="6"/>
  <c r="AM281" i="6"/>
  <c r="AL281" i="6"/>
  <c r="AK281" i="6"/>
  <c r="AJ281" i="6"/>
  <c r="AI281" i="6"/>
  <c r="AH281" i="6"/>
  <c r="AG281" i="6"/>
  <c r="Q281" i="6"/>
  <c r="P281" i="6"/>
  <c r="O281" i="6"/>
  <c r="N281" i="6"/>
  <c r="M281" i="6"/>
  <c r="L281" i="6"/>
  <c r="K281" i="6"/>
  <c r="J281" i="6"/>
  <c r="I281" i="6"/>
  <c r="AF280" i="6"/>
  <c r="H280" i="6"/>
  <c r="F280" i="6"/>
  <c r="AF279" i="6"/>
  <c r="AD279" i="6"/>
  <c r="H279" i="6"/>
  <c r="F279" i="6"/>
  <c r="AS279" i="6" s="1"/>
  <c r="AF278" i="6"/>
  <c r="AD278" i="6"/>
  <c r="H278" i="6"/>
  <c r="F278" i="6"/>
  <c r="AF277" i="6"/>
  <c r="AD277" i="6"/>
  <c r="H277" i="6"/>
  <c r="F277" i="6"/>
  <c r="AS277" i="6" s="1"/>
  <c r="AR276" i="6"/>
  <c r="AO276" i="6"/>
  <c r="AN276" i="6"/>
  <c r="AM276" i="6"/>
  <c r="AL276" i="6"/>
  <c r="AK276" i="6"/>
  <c r="AJ276" i="6"/>
  <c r="AI276" i="6"/>
  <c r="AH276" i="6"/>
  <c r="AG276" i="6"/>
  <c r="Q276" i="6"/>
  <c r="P276" i="6"/>
  <c r="O276" i="6"/>
  <c r="N276" i="6"/>
  <c r="M276" i="6"/>
  <c r="L276" i="6"/>
  <c r="K276" i="6"/>
  <c r="J276" i="6"/>
  <c r="I276" i="6"/>
  <c r="AF274" i="6"/>
  <c r="AE274" i="6" s="1"/>
  <c r="AG273" i="6"/>
  <c r="AF273" i="6" s="1"/>
  <c r="F273" i="6"/>
  <c r="AF272" i="6"/>
  <c r="AD272" i="6"/>
  <c r="F272" i="6"/>
  <c r="AS272" i="6" s="1"/>
  <c r="AG271" i="6"/>
  <c r="AF271" i="6" s="1"/>
  <c r="F271" i="6"/>
  <c r="AG270" i="6"/>
  <c r="AF270" i="6" s="1"/>
  <c r="F270" i="6"/>
  <c r="AQ269" i="6"/>
  <c r="AP269" i="6"/>
  <c r="AP262" i="6" s="1"/>
  <c r="AO269" i="6"/>
  <c r="AN269" i="6"/>
  <c r="AM269" i="6"/>
  <c r="AL269" i="6"/>
  <c r="AK269" i="6"/>
  <c r="AJ269" i="6"/>
  <c r="AI269" i="6"/>
  <c r="AH269" i="6"/>
  <c r="Q269" i="6"/>
  <c r="P269" i="6"/>
  <c r="O269" i="6"/>
  <c r="N269" i="6"/>
  <c r="M269" i="6"/>
  <c r="L269" i="6"/>
  <c r="K269" i="6"/>
  <c r="J269" i="6"/>
  <c r="AF268" i="6"/>
  <c r="AD268" i="6"/>
  <c r="H268" i="6"/>
  <c r="F268" i="6"/>
  <c r="AG267" i="6"/>
  <c r="AF267" i="6" s="1"/>
  <c r="F267" i="6"/>
  <c r="AQ266" i="6"/>
  <c r="AR266" i="6" s="1"/>
  <c r="AO266" i="6"/>
  <c r="AN266" i="6"/>
  <c r="AM266" i="6"/>
  <c r="AL266" i="6"/>
  <c r="AK266" i="6"/>
  <c r="AJ266" i="6"/>
  <c r="AI266" i="6"/>
  <c r="AH266" i="6"/>
  <c r="Q266" i="6"/>
  <c r="P266" i="6"/>
  <c r="O266" i="6"/>
  <c r="N266" i="6"/>
  <c r="M266" i="6"/>
  <c r="L266" i="6"/>
  <c r="K266" i="6"/>
  <c r="J266" i="6"/>
  <c r="AF265" i="6"/>
  <c r="AD265" i="6"/>
  <c r="AD263" i="6" s="1"/>
  <c r="H265" i="6"/>
  <c r="F265" i="6"/>
  <c r="F264" i="6"/>
  <c r="AQ263" i="6"/>
  <c r="AO263" i="6"/>
  <c r="AM263" i="6"/>
  <c r="AL263" i="6"/>
  <c r="AK263" i="6"/>
  <c r="AJ263" i="6"/>
  <c r="AI263" i="6"/>
  <c r="AH263" i="6"/>
  <c r="AG263" i="6"/>
  <c r="Q263" i="6"/>
  <c r="O263" i="6"/>
  <c r="N263" i="6"/>
  <c r="M263" i="6"/>
  <c r="L263" i="6"/>
  <c r="K263" i="6"/>
  <c r="J263" i="6"/>
  <c r="AF261" i="6"/>
  <c r="AD261" i="6"/>
  <c r="AD259" i="6" s="1"/>
  <c r="H261" i="6"/>
  <c r="F261" i="6"/>
  <c r="AF260" i="6"/>
  <c r="H260" i="6"/>
  <c r="F260" i="6"/>
  <c r="AQ259" i="6"/>
  <c r="AP259" i="6"/>
  <c r="AO259" i="6"/>
  <c r="AN259" i="6"/>
  <c r="AM259" i="6"/>
  <c r="AL259" i="6"/>
  <c r="AK259" i="6"/>
  <c r="AJ259" i="6"/>
  <c r="AI259" i="6"/>
  <c r="AH259" i="6"/>
  <c r="AG259" i="6"/>
  <c r="Q259" i="6"/>
  <c r="P259" i="6"/>
  <c r="O259" i="6"/>
  <c r="N259" i="6"/>
  <c r="M259" i="6"/>
  <c r="L259" i="6"/>
  <c r="K259" i="6"/>
  <c r="J259" i="6"/>
  <c r="I259" i="6"/>
  <c r="AF258" i="6"/>
  <c r="AD258" i="6"/>
  <c r="H258" i="6"/>
  <c r="F258" i="6"/>
  <c r="AF257" i="6"/>
  <c r="AD257" i="6"/>
  <c r="H257" i="6"/>
  <c r="F257" i="6"/>
  <c r="AQ256" i="6"/>
  <c r="AR256" i="6" s="1"/>
  <c r="AO256" i="6"/>
  <c r="AN256" i="6"/>
  <c r="AM256" i="6"/>
  <c r="AL256" i="6"/>
  <c r="AK256" i="6"/>
  <c r="AJ256" i="6"/>
  <c r="AI256" i="6"/>
  <c r="AH256" i="6"/>
  <c r="AG256" i="6"/>
  <c r="Q256" i="6"/>
  <c r="P256" i="6"/>
  <c r="O256" i="6"/>
  <c r="N256" i="6"/>
  <c r="M256" i="6"/>
  <c r="L256" i="6"/>
  <c r="K256" i="6"/>
  <c r="J256" i="6"/>
  <c r="I256" i="6"/>
  <c r="AF255" i="6"/>
  <c r="H255" i="6"/>
  <c r="F255" i="6"/>
  <c r="AF254" i="6"/>
  <c r="H254" i="6"/>
  <c r="F254" i="6"/>
  <c r="AF253" i="6"/>
  <c r="AD253" i="6"/>
  <c r="H253" i="6"/>
  <c r="F253" i="6"/>
  <c r="AS253" i="6" s="1"/>
  <c r="AF252" i="6"/>
  <c r="H252" i="6"/>
  <c r="F252" i="6"/>
  <c r="AF251" i="6"/>
  <c r="H251" i="6"/>
  <c r="F251" i="6"/>
  <c r="AF250" i="6"/>
  <c r="H250" i="6"/>
  <c r="F250" i="6"/>
  <c r="AF249" i="6"/>
  <c r="H249" i="6"/>
  <c r="F249" i="6"/>
  <c r="AF248" i="6"/>
  <c r="H248" i="6"/>
  <c r="F248" i="6"/>
  <c r="AF247" i="6"/>
  <c r="H247" i="6"/>
  <c r="F247" i="6"/>
  <c r="AF246" i="6"/>
  <c r="H246" i="6"/>
  <c r="F246" i="6"/>
  <c r="AQ245" i="6"/>
  <c r="AP245" i="6"/>
  <c r="AO245" i="6"/>
  <c r="AN245" i="6"/>
  <c r="AM245" i="6"/>
  <c r="AL245" i="6"/>
  <c r="AK245" i="6"/>
  <c r="AJ245" i="6"/>
  <c r="AI245" i="6"/>
  <c r="AH245" i="6"/>
  <c r="AG245" i="6"/>
  <c r="Q245" i="6"/>
  <c r="P245" i="6"/>
  <c r="O245" i="6"/>
  <c r="N245" i="6"/>
  <c r="M245" i="6"/>
  <c r="L245" i="6"/>
  <c r="K245" i="6"/>
  <c r="J245" i="6"/>
  <c r="I245" i="6"/>
  <c r="AF244" i="6"/>
  <c r="AE244" i="6" s="1"/>
  <c r="H244" i="6"/>
  <c r="F244" i="6"/>
  <c r="AF243" i="6"/>
  <c r="H243" i="6"/>
  <c r="F243" i="6"/>
  <c r="AF242" i="6"/>
  <c r="H242" i="6"/>
  <c r="F242" i="6"/>
  <c r="AF241" i="6"/>
  <c r="H241" i="6"/>
  <c r="F241" i="6"/>
  <c r="AF240" i="6"/>
  <c r="AD240" i="6"/>
  <c r="H240" i="6"/>
  <c r="F240" i="6"/>
  <c r="AS240" i="6" s="1"/>
  <c r="AQ239" i="6"/>
  <c r="AO239" i="6"/>
  <c r="AN239" i="6"/>
  <c r="AM239" i="6"/>
  <c r="AL239" i="6"/>
  <c r="AK239" i="6"/>
  <c r="AJ239" i="6"/>
  <c r="AI239" i="6"/>
  <c r="AH239" i="6"/>
  <c r="AG239" i="6"/>
  <c r="Q239" i="6"/>
  <c r="P239" i="6"/>
  <c r="O239" i="6"/>
  <c r="N239" i="6"/>
  <c r="M239" i="6"/>
  <c r="L239" i="6"/>
  <c r="K239" i="6"/>
  <c r="J239" i="6"/>
  <c r="I239" i="6"/>
  <c r="AF237" i="6"/>
  <c r="AD237" i="6"/>
  <c r="H237" i="6"/>
  <c r="F237" i="6"/>
  <c r="AR236" i="6"/>
  <c r="AO236" i="6"/>
  <c r="AN236" i="6"/>
  <c r="AM236" i="6"/>
  <c r="AL236" i="6"/>
  <c r="AK236" i="6"/>
  <c r="AJ236" i="6"/>
  <c r="AI236" i="6"/>
  <c r="AH236" i="6"/>
  <c r="AG236" i="6"/>
  <c r="Q236" i="6"/>
  <c r="P236" i="6"/>
  <c r="O236" i="6"/>
  <c r="N236" i="6"/>
  <c r="M236" i="6"/>
  <c r="L236" i="6"/>
  <c r="K236" i="6"/>
  <c r="J236" i="6"/>
  <c r="I236" i="6"/>
  <c r="AF235" i="6"/>
  <c r="H235" i="6"/>
  <c r="F235" i="6"/>
  <c r="AF234" i="6"/>
  <c r="H234" i="6"/>
  <c r="F234" i="6"/>
  <c r="AF233" i="6"/>
  <c r="AD233" i="6"/>
  <c r="H233" i="6"/>
  <c r="F233" i="6"/>
  <c r="AS233" i="6" s="1"/>
  <c r="AF232" i="6"/>
  <c r="AD232" i="6"/>
  <c r="H232" i="6"/>
  <c r="F232" i="6"/>
  <c r="AS232" i="6" s="1"/>
  <c r="AQ231" i="6"/>
  <c r="AR231" i="6" s="1"/>
  <c r="AO231" i="6"/>
  <c r="AN231" i="6"/>
  <c r="AM231" i="6"/>
  <c r="AL231" i="6"/>
  <c r="AK231" i="6"/>
  <c r="AJ231" i="6"/>
  <c r="AI231" i="6"/>
  <c r="AH231" i="6"/>
  <c r="AG231" i="6"/>
  <c r="Q231" i="6"/>
  <c r="P231" i="6"/>
  <c r="O231" i="6"/>
  <c r="N231" i="6"/>
  <c r="M231" i="6"/>
  <c r="L231" i="6"/>
  <c r="K231" i="6"/>
  <c r="J231" i="6"/>
  <c r="I231" i="6"/>
  <c r="AF230" i="6"/>
  <c r="H230" i="6"/>
  <c r="F230" i="6"/>
  <c r="AF229" i="6"/>
  <c r="H229" i="6"/>
  <c r="F229" i="6"/>
  <c r="AF228" i="6"/>
  <c r="AD228" i="6"/>
  <c r="H228" i="6"/>
  <c r="F228" i="6"/>
  <c r="AS228" i="6" s="1"/>
  <c r="AF227" i="6"/>
  <c r="AD227" i="6"/>
  <c r="H227" i="6"/>
  <c r="F227" i="6"/>
  <c r="AS227" i="6" s="1"/>
  <c r="AF226" i="6"/>
  <c r="H226" i="6"/>
  <c r="F226" i="6"/>
  <c r="AF225" i="6"/>
  <c r="H225" i="6"/>
  <c r="F225" i="6"/>
  <c r="AF224" i="6"/>
  <c r="H224" i="6"/>
  <c r="E224" i="6"/>
  <c r="F224" i="6" s="1"/>
  <c r="AF223" i="6"/>
  <c r="H223" i="6"/>
  <c r="F223" i="6"/>
  <c r="AF222" i="6"/>
  <c r="H222" i="6"/>
  <c r="F222" i="6"/>
  <c r="AF221" i="6"/>
  <c r="H221" i="6"/>
  <c r="F221" i="6"/>
  <c r="AF220" i="6"/>
  <c r="H220" i="6"/>
  <c r="F220" i="6"/>
  <c r="AF219" i="6"/>
  <c r="H219" i="6"/>
  <c r="F219" i="6"/>
  <c r="AQ218" i="6"/>
  <c r="AR218" i="6" s="1"/>
  <c r="AO218" i="6"/>
  <c r="AN218" i="6"/>
  <c r="AM218" i="6"/>
  <c r="AL218" i="6"/>
  <c r="AK218" i="6"/>
  <c r="AJ218" i="6"/>
  <c r="AI218" i="6"/>
  <c r="AH218" i="6"/>
  <c r="AG218" i="6"/>
  <c r="Q218" i="6"/>
  <c r="P218" i="6"/>
  <c r="O218" i="6"/>
  <c r="N218" i="6"/>
  <c r="M218" i="6"/>
  <c r="L218" i="6"/>
  <c r="K218" i="6"/>
  <c r="J218" i="6"/>
  <c r="I218" i="6"/>
  <c r="AP217" i="6"/>
  <c r="AF216" i="6"/>
  <c r="AD216" i="6"/>
  <c r="J216" i="6"/>
  <c r="H216" i="6" s="1"/>
  <c r="E216" i="6"/>
  <c r="F216" i="6" s="1"/>
  <c r="AR215" i="6"/>
  <c r="AO215" i="6"/>
  <c r="AN215" i="6"/>
  <c r="AM215" i="6"/>
  <c r="AL215" i="6"/>
  <c r="AK215" i="6"/>
  <c r="AJ215" i="6"/>
  <c r="AI215" i="6"/>
  <c r="AH215" i="6"/>
  <c r="AG215" i="6"/>
  <c r="Q215" i="6"/>
  <c r="P215" i="6"/>
  <c r="O215" i="6"/>
  <c r="N215" i="6"/>
  <c r="M215" i="6"/>
  <c r="L215" i="6"/>
  <c r="K215" i="6"/>
  <c r="I215" i="6"/>
  <c r="AF213" i="6"/>
  <c r="H213" i="6"/>
  <c r="F213" i="6"/>
  <c r="AF212" i="6"/>
  <c r="AD212" i="6"/>
  <c r="AD210" i="6" s="1"/>
  <c r="H212" i="6"/>
  <c r="F212" i="6"/>
  <c r="AF211" i="6"/>
  <c r="AE211" i="6" s="1"/>
  <c r="H211" i="6"/>
  <c r="F211" i="6"/>
  <c r="AQ210" i="6"/>
  <c r="AF210" i="6"/>
  <c r="Q210" i="6"/>
  <c r="P210" i="6"/>
  <c r="O210" i="6"/>
  <c r="N210" i="6"/>
  <c r="M210" i="6"/>
  <c r="L210" i="6"/>
  <c r="K210" i="6"/>
  <c r="J210" i="6"/>
  <c r="I210" i="6"/>
  <c r="AF204" i="6"/>
  <c r="AD204" i="6"/>
  <c r="H204" i="6"/>
  <c r="F204" i="6"/>
  <c r="AF203" i="6"/>
  <c r="AD203" i="6"/>
  <c r="H203" i="6"/>
  <c r="F203" i="6"/>
  <c r="AF202" i="6"/>
  <c r="AD202" i="6"/>
  <c r="H202" i="6"/>
  <c r="F202" i="6"/>
  <c r="AS202" i="6" s="1"/>
  <c r="AF201" i="6"/>
  <c r="AD201" i="6"/>
  <c r="H201" i="6"/>
  <c r="F201" i="6"/>
  <c r="AS201" i="6" s="1"/>
  <c r="AF200" i="6"/>
  <c r="AD200" i="6"/>
  <c r="H200" i="6"/>
  <c r="F200" i="6"/>
  <c r="AQ199" i="6"/>
  <c r="AR199" i="6" s="1"/>
  <c r="Q199" i="6"/>
  <c r="P199" i="6"/>
  <c r="O199" i="6"/>
  <c r="N199" i="6"/>
  <c r="M199" i="6"/>
  <c r="L199" i="6"/>
  <c r="K199" i="6"/>
  <c r="J199" i="6"/>
  <c r="I199" i="6"/>
  <c r="AF198" i="6"/>
  <c r="AE198" i="6" s="1"/>
  <c r="H198" i="6"/>
  <c r="F198" i="6"/>
  <c r="AF197" i="6"/>
  <c r="H197" i="6"/>
  <c r="F197" i="6"/>
  <c r="AF196" i="6"/>
  <c r="AD196" i="6"/>
  <c r="H196" i="6"/>
  <c r="F196" i="6"/>
  <c r="AS196" i="6" s="1"/>
  <c r="AF195" i="6"/>
  <c r="AD195" i="6"/>
  <c r="J195" i="6"/>
  <c r="H195" i="6" s="1"/>
  <c r="F195" i="6"/>
  <c r="AS195" i="6" s="1"/>
  <c r="AF194" i="6"/>
  <c r="AD194" i="6"/>
  <c r="H194" i="6"/>
  <c r="F194" i="6"/>
  <c r="AQ193" i="6"/>
  <c r="AR193" i="6" s="1"/>
  <c r="AO193" i="6"/>
  <c r="AN193" i="6"/>
  <c r="AM193" i="6"/>
  <c r="AL193" i="6"/>
  <c r="AK193" i="6"/>
  <c r="AJ193" i="6"/>
  <c r="AI193" i="6"/>
  <c r="AH193" i="6"/>
  <c r="AG193" i="6"/>
  <c r="Q193" i="6"/>
  <c r="P193" i="6"/>
  <c r="O193" i="6"/>
  <c r="N193" i="6"/>
  <c r="M193" i="6"/>
  <c r="L193" i="6"/>
  <c r="K193" i="6"/>
  <c r="I193" i="6"/>
  <c r="AF191" i="6"/>
  <c r="AE191" i="6" s="1"/>
  <c r="H191" i="6"/>
  <c r="G191" i="6" s="1"/>
  <c r="AF190" i="6"/>
  <c r="AD190" i="6"/>
  <c r="J190" i="6"/>
  <c r="H190" i="6" s="1"/>
  <c r="F190" i="6"/>
  <c r="AS190" i="6" s="1"/>
  <c r="AQ189" i="6"/>
  <c r="AO189" i="6"/>
  <c r="AN189" i="6"/>
  <c r="AM189" i="6"/>
  <c r="AL189" i="6"/>
  <c r="AK189" i="6"/>
  <c r="AJ189" i="6"/>
  <c r="AI189" i="6"/>
  <c r="AH189" i="6"/>
  <c r="AG189" i="6"/>
  <c r="Q189" i="6"/>
  <c r="P189" i="6"/>
  <c r="O189" i="6"/>
  <c r="N189" i="6"/>
  <c r="M189" i="6"/>
  <c r="L189" i="6"/>
  <c r="K189" i="6"/>
  <c r="I189" i="6"/>
  <c r="AF188" i="6"/>
  <c r="AD188" i="6"/>
  <c r="H188" i="6"/>
  <c r="F188" i="6"/>
  <c r="AF187" i="6"/>
  <c r="AD187" i="6"/>
  <c r="H187" i="6"/>
  <c r="F187" i="6"/>
  <c r="AQ186" i="6"/>
  <c r="AR186" i="6" s="1"/>
  <c r="AO186" i="6"/>
  <c r="AN186" i="6"/>
  <c r="AM186" i="6"/>
  <c r="AL186" i="6"/>
  <c r="AK186" i="6"/>
  <c r="AJ186" i="6"/>
  <c r="AI186" i="6"/>
  <c r="AH186" i="6"/>
  <c r="AG186" i="6"/>
  <c r="Q186" i="6"/>
  <c r="P186" i="6"/>
  <c r="O186" i="6"/>
  <c r="N186" i="6"/>
  <c r="M186" i="6"/>
  <c r="L186" i="6"/>
  <c r="K186" i="6"/>
  <c r="J186" i="6"/>
  <c r="I186" i="6"/>
  <c r="AF185" i="6"/>
  <c r="AD185" i="6"/>
  <c r="H185" i="6"/>
  <c r="F185" i="6"/>
  <c r="AS185" i="6" s="1"/>
  <c r="AF184" i="6"/>
  <c r="AD184" i="6"/>
  <c r="H184" i="6"/>
  <c r="F184" i="6"/>
  <c r="AF183" i="6"/>
  <c r="H183" i="6"/>
  <c r="F183" i="6"/>
  <c r="AQ182" i="6"/>
  <c r="AR182" i="6" s="1"/>
  <c r="AO182" i="6"/>
  <c r="AN182" i="6"/>
  <c r="AM182" i="6"/>
  <c r="AL182" i="6"/>
  <c r="AK182" i="6"/>
  <c r="AJ182" i="6"/>
  <c r="AI182" i="6"/>
  <c r="AH182" i="6"/>
  <c r="AG182" i="6"/>
  <c r="Q182" i="6"/>
  <c r="P182" i="6"/>
  <c r="O182" i="6"/>
  <c r="N182" i="6"/>
  <c r="M182" i="6"/>
  <c r="L182" i="6"/>
  <c r="K182" i="6"/>
  <c r="J182" i="6"/>
  <c r="I182" i="6"/>
  <c r="AF180" i="6"/>
  <c r="AE180" i="6" s="1"/>
  <c r="H180" i="6"/>
  <c r="G180" i="6" s="1"/>
  <c r="AF179" i="6"/>
  <c r="H179" i="6"/>
  <c r="F179" i="6"/>
  <c r="AF178" i="6"/>
  <c r="H178" i="6"/>
  <c r="F178" i="6"/>
  <c r="AF177" i="6"/>
  <c r="AD177" i="6"/>
  <c r="H177" i="6"/>
  <c r="F177" i="6"/>
  <c r="AS177" i="6" s="1"/>
  <c r="AF176" i="6"/>
  <c r="AD176" i="6"/>
  <c r="H176" i="6"/>
  <c r="F176" i="6"/>
  <c r="AS176" i="6" s="1"/>
  <c r="AQ175" i="6"/>
  <c r="AR175" i="6" s="1"/>
  <c r="Q175" i="6"/>
  <c r="P175" i="6"/>
  <c r="O175" i="6"/>
  <c r="N175" i="6"/>
  <c r="M175" i="6"/>
  <c r="L175" i="6"/>
  <c r="K175" i="6"/>
  <c r="J175" i="6"/>
  <c r="I175" i="6"/>
  <c r="AF174" i="6"/>
  <c r="AD174" i="6"/>
  <c r="H174" i="6"/>
  <c r="F174" i="6"/>
  <c r="AS174" i="6" s="1"/>
  <c r="AF173" i="6"/>
  <c r="AD173" i="6"/>
  <c r="H173" i="6"/>
  <c r="F173" i="6"/>
  <c r="AS173" i="6" s="1"/>
  <c r="AF172" i="6"/>
  <c r="AD172" i="6"/>
  <c r="H172" i="6"/>
  <c r="F172" i="6"/>
  <c r="AS172" i="6" s="1"/>
  <c r="AF171" i="6"/>
  <c r="H171" i="6"/>
  <c r="F171" i="6"/>
  <c r="AF170" i="6"/>
  <c r="AD170" i="6"/>
  <c r="H170" i="6"/>
  <c r="F170" i="6"/>
  <c r="AS170" i="6" s="1"/>
  <c r="AQ169" i="6"/>
  <c r="AO169" i="6"/>
  <c r="AN169" i="6"/>
  <c r="AM169" i="6"/>
  <c r="AL169" i="6"/>
  <c r="AK169" i="6"/>
  <c r="AJ169" i="6"/>
  <c r="AI169" i="6"/>
  <c r="AH169" i="6"/>
  <c r="AG169" i="6"/>
  <c r="Q169" i="6"/>
  <c r="P169" i="6"/>
  <c r="O169" i="6"/>
  <c r="N169" i="6"/>
  <c r="M169" i="6"/>
  <c r="L169" i="6"/>
  <c r="K169" i="6"/>
  <c r="J169" i="6"/>
  <c r="I169" i="6"/>
  <c r="AP168" i="6"/>
  <c r="AH168" i="6"/>
  <c r="AF167" i="6"/>
  <c r="AD167" i="6"/>
  <c r="H167" i="6"/>
  <c r="F167" i="6"/>
  <c r="AF166" i="6"/>
  <c r="AD166" i="6"/>
  <c r="H166" i="6"/>
  <c r="F166" i="6"/>
  <c r="AR165" i="6"/>
  <c r="AO165" i="6"/>
  <c r="AN165" i="6"/>
  <c r="AM165" i="6"/>
  <c r="AL165" i="6"/>
  <c r="AK165" i="6"/>
  <c r="AJ165" i="6"/>
  <c r="AI165" i="6"/>
  <c r="AH165" i="6"/>
  <c r="AG165" i="6"/>
  <c r="Q165" i="6"/>
  <c r="P165" i="6"/>
  <c r="O165" i="6"/>
  <c r="N165" i="6"/>
  <c r="M165" i="6"/>
  <c r="L165" i="6"/>
  <c r="K165" i="6"/>
  <c r="J165" i="6"/>
  <c r="I165" i="6"/>
  <c r="AF164" i="6"/>
  <c r="AD164" i="6"/>
  <c r="AD160" i="6" s="1"/>
  <c r="H164" i="6"/>
  <c r="F164" i="6"/>
  <c r="AF163" i="6"/>
  <c r="J163" i="6"/>
  <c r="H163" i="6" s="1"/>
  <c r="F163" i="6"/>
  <c r="AF162" i="6"/>
  <c r="H162" i="6"/>
  <c r="F162" i="6"/>
  <c r="AF161" i="6"/>
  <c r="H161" i="6"/>
  <c r="F161" i="6"/>
  <c r="AQ160" i="6"/>
  <c r="AR160" i="6" s="1"/>
  <c r="AO160" i="6"/>
  <c r="AN160" i="6"/>
  <c r="AM160" i="6"/>
  <c r="AL160" i="6"/>
  <c r="AK160" i="6"/>
  <c r="AJ160" i="6"/>
  <c r="AI160" i="6"/>
  <c r="AH160" i="6"/>
  <c r="AG160" i="6"/>
  <c r="Q160" i="6"/>
  <c r="P160" i="6"/>
  <c r="O160" i="6"/>
  <c r="N160" i="6"/>
  <c r="M160" i="6"/>
  <c r="L160" i="6"/>
  <c r="K160" i="6"/>
  <c r="I160" i="6"/>
  <c r="AF159" i="6"/>
  <c r="H159" i="6"/>
  <c r="F159" i="6"/>
  <c r="AF158" i="6"/>
  <c r="H158" i="6"/>
  <c r="F158" i="6"/>
  <c r="AF157" i="6"/>
  <c r="H157" i="6"/>
  <c r="F157" i="6"/>
  <c r="AF156" i="6"/>
  <c r="K156" i="6"/>
  <c r="K155" i="6" s="1"/>
  <c r="J156" i="6"/>
  <c r="J155" i="6" s="1"/>
  <c r="F156" i="6"/>
  <c r="AQ155" i="6"/>
  <c r="AP155" i="6"/>
  <c r="AP151" i="6" s="1"/>
  <c r="AO155" i="6"/>
  <c r="AN155" i="6"/>
  <c r="AM155" i="6"/>
  <c r="AL155" i="6"/>
  <c r="AK155" i="6"/>
  <c r="AJ155" i="6"/>
  <c r="AI155" i="6"/>
  <c r="AH155" i="6"/>
  <c r="AG155" i="6"/>
  <c r="AD155" i="6"/>
  <c r="Q155" i="6"/>
  <c r="P155" i="6"/>
  <c r="O155" i="6"/>
  <c r="N155" i="6"/>
  <c r="M155" i="6"/>
  <c r="L155" i="6"/>
  <c r="I155" i="6"/>
  <c r="AF154" i="6"/>
  <c r="AD154" i="6"/>
  <c r="AD152" i="6" s="1"/>
  <c r="H154" i="6"/>
  <c r="F154" i="6"/>
  <c r="AF153" i="6"/>
  <c r="H153" i="6"/>
  <c r="F153" i="6"/>
  <c r="AQ152" i="6"/>
  <c r="AR152" i="6" s="1"/>
  <c r="AO152" i="6"/>
  <c r="AN152" i="6"/>
  <c r="AM152" i="6"/>
  <c r="AL152" i="6"/>
  <c r="AK152" i="6"/>
  <c r="AJ152" i="6"/>
  <c r="AI152" i="6"/>
  <c r="AH152" i="6"/>
  <c r="AG152" i="6"/>
  <c r="Q152" i="6"/>
  <c r="P152" i="6"/>
  <c r="O152" i="6"/>
  <c r="N152" i="6"/>
  <c r="M152" i="6"/>
  <c r="L152" i="6"/>
  <c r="K152" i="6"/>
  <c r="J152" i="6"/>
  <c r="I152" i="6"/>
  <c r="AH151" i="6"/>
  <c r="AG150" i="6"/>
  <c r="AF150" i="6" s="1"/>
  <c r="AD150" i="6"/>
  <c r="F150" i="6"/>
  <c r="AG149" i="6"/>
  <c r="AF149" i="6" s="1"/>
  <c r="F149" i="6"/>
  <c r="AG148" i="6"/>
  <c r="AF148" i="6" s="1"/>
  <c r="AD148" i="6"/>
  <c r="F148" i="6"/>
  <c r="AG147" i="6"/>
  <c r="AF147" i="6" s="1"/>
  <c r="F147" i="6"/>
  <c r="AR146" i="6"/>
  <c r="AO146" i="6"/>
  <c r="AN146" i="6"/>
  <c r="AM146" i="6"/>
  <c r="AL146" i="6"/>
  <c r="AK146" i="6"/>
  <c r="AJ146" i="6"/>
  <c r="AI146" i="6"/>
  <c r="AH146" i="6"/>
  <c r="Q146" i="6"/>
  <c r="P146" i="6"/>
  <c r="O146" i="6"/>
  <c r="N146" i="6"/>
  <c r="M146" i="6"/>
  <c r="L146" i="6"/>
  <c r="K146" i="6"/>
  <c r="J146" i="6"/>
  <c r="AG145" i="6"/>
  <c r="AF145" i="6" s="1"/>
  <c r="AD145" i="6"/>
  <c r="F145" i="6"/>
  <c r="AG144" i="6"/>
  <c r="AF144" i="6" s="1"/>
  <c r="AD144" i="6"/>
  <c r="F144" i="6"/>
  <c r="AG143" i="6"/>
  <c r="AF143" i="6" s="1"/>
  <c r="AD143" i="6"/>
  <c r="F143" i="6"/>
  <c r="AG142" i="6"/>
  <c r="AF142" i="6" s="1"/>
  <c r="AD142" i="6"/>
  <c r="F142" i="6"/>
  <c r="AQ141" i="6"/>
  <c r="AR141" i="6" s="1"/>
  <c r="AO141" i="6"/>
  <c r="AN141" i="6"/>
  <c r="AM141" i="6"/>
  <c r="AL141" i="6"/>
  <c r="AK141" i="6"/>
  <c r="AJ141" i="6"/>
  <c r="AI141" i="6"/>
  <c r="AH141" i="6"/>
  <c r="Q141" i="6"/>
  <c r="P141" i="6"/>
  <c r="O141" i="6"/>
  <c r="N141" i="6"/>
  <c r="M141" i="6"/>
  <c r="L141" i="6"/>
  <c r="K141" i="6"/>
  <c r="J141" i="6"/>
  <c r="AG140" i="6"/>
  <c r="AF140" i="6" s="1"/>
  <c r="AD140" i="6"/>
  <c r="F140" i="6"/>
  <c r="AG139" i="6"/>
  <c r="AF139" i="6" s="1"/>
  <c r="AD139" i="6"/>
  <c r="F139" i="6"/>
  <c r="AG138" i="6"/>
  <c r="AF138" i="6" s="1"/>
  <c r="AD138" i="6"/>
  <c r="F138" i="6"/>
  <c r="AG137" i="6"/>
  <c r="AF137" i="6" s="1"/>
  <c r="AD137" i="6"/>
  <c r="F137" i="6"/>
  <c r="AG136" i="6"/>
  <c r="AF136" i="6" s="1"/>
  <c r="AD136" i="6"/>
  <c r="F136" i="6"/>
  <c r="AG135" i="6"/>
  <c r="AF135" i="6" s="1"/>
  <c r="AD135" i="6"/>
  <c r="F135" i="6"/>
  <c r="AG134" i="6"/>
  <c r="AF134" i="6" s="1"/>
  <c r="AD134" i="6"/>
  <c r="F134" i="6"/>
  <c r="AG133" i="6"/>
  <c r="AF133" i="6" s="1"/>
  <c r="AD133" i="6"/>
  <c r="F133" i="6"/>
  <c r="AG132" i="6"/>
  <c r="AF132" i="6" s="1"/>
  <c r="AD132" i="6"/>
  <c r="F132" i="6"/>
  <c r="AG131" i="6"/>
  <c r="AF131" i="6" s="1"/>
  <c r="AD131" i="6"/>
  <c r="F131" i="6"/>
  <c r="AR130" i="6"/>
  <c r="AO130" i="6"/>
  <c r="AN130" i="6"/>
  <c r="AM130" i="6"/>
  <c r="AL130" i="6"/>
  <c r="AK130" i="6"/>
  <c r="AJ130" i="6"/>
  <c r="AI130" i="6"/>
  <c r="AH130" i="6"/>
  <c r="Q130" i="6"/>
  <c r="P130" i="6"/>
  <c r="O130" i="6"/>
  <c r="N130" i="6"/>
  <c r="M130" i="6"/>
  <c r="L130" i="6"/>
  <c r="K130" i="6"/>
  <c r="J130" i="6"/>
  <c r="AO129" i="6"/>
  <c r="AF129" i="6" s="1"/>
  <c r="F129" i="6"/>
  <c r="Q129" i="6" s="1"/>
  <c r="R129" i="6" s="1"/>
  <c r="AC129" i="6" s="1"/>
  <c r="T129" i="6" s="1"/>
  <c r="S129" i="6" s="1"/>
  <c r="AO128" i="6"/>
  <c r="AF128" i="6" s="1"/>
  <c r="F128" i="6"/>
  <c r="AF127" i="6"/>
  <c r="AD127" i="6"/>
  <c r="H127" i="6"/>
  <c r="F127" i="6"/>
  <c r="AQ126" i="6"/>
  <c r="AR126" i="6" s="1"/>
  <c r="AN126" i="6"/>
  <c r="AM126" i="6"/>
  <c r="AL126" i="6"/>
  <c r="AK126" i="6"/>
  <c r="AJ126" i="6"/>
  <c r="AI126" i="6"/>
  <c r="AH126" i="6"/>
  <c r="AG126" i="6"/>
  <c r="P126" i="6"/>
  <c r="O126" i="6"/>
  <c r="N126" i="6"/>
  <c r="M126" i="6"/>
  <c r="L126" i="6"/>
  <c r="K126" i="6"/>
  <c r="J126" i="6"/>
  <c r="I126" i="6"/>
  <c r="AF125" i="6"/>
  <c r="AD125" i="6"/>
  <c r="H125" i="6"/>
  <c r="F125" i="6"/>
  <c r="AS125" i="6" s="1"/>
  <c r="AF124" i="6"/>
  <c r="AD124" i="6"/>
  <c r="H124" i="6"/>
  <c r="F124" i="6"/>
  <c r="AF123" i="6"/>
  <c r="AD123" i="6"/>
  <c r="H123" i="6"/>
  <c r="F123" i="6"/>
  <c r="AQ122" i="6"/>
  <c r="AO122" i="6"/>
  <c r="AN122" i="6"/>
  <c r="AM122" i="6"/>
  <c r="AL122" i="6"/>
  <c r="AK122" i="6"/>
  <c r="AJ122" i="6"/>
  <c r="AI122" i="6"/>
  <c r="AH122" i="6"/>
  <c r="AG122" i="6"/>
  <c r="Q122" i="6"/>
  <c r="P122" i="6"/>
  <c r="O122" i="6"/>
  <c r="N122" i="6"/>
  <c r="M122" i="6"/>
  <c r="L122" i="6"/>
  <c r="K122" i="6"/>
  <c r="J122" i="6"/>
  <c r="I122" i="6"/>
  <c r="AF121" i="6"/>
  <c r="AD121" i="6"/>
  <c r="H121" i="6"/>
  <c r="F121" i="6"/>
  <c r="AF120" i="6"/>
  <c r="AD120" i="6"/>
  <c r="H120" i="6"/>
  <c r="F120" i="6"/>
  <c r="AS120" i="6" s="1"/>
  <c r="AF119" i="6"/>
  <c r="H119" i="6"/>
  <c r="F119" i="6"/>
  <c r="AR118" i="6"/>
  <c r="AO118" i="6"/>
  <c r="AN118" i="6"/>
  <c r="AM118" i="6"/>
  <c r="AL118" i="6"/>
  <c r="AK118" i="6"/>
  <c r="AJ118" i="6"/>
  <c r="AI118" i="6"/>
  <c r="AH118" i="6"/>
  <c r="AG118" i="6"/>
  <c r="Q118" i="6"/>
  <c r="P118" i="6"/>
  <c r="O118" i="6"/>
  <c r="N118" i="6"/>
  <c r="M118" i="6"/>
  <c r="L118" i="6"/>
  <c r="K118" i="6"/>
  <c r="J118" i="6"/>
  <c r="I118" i="6"/>
  <c r="AF117" i="6"/>
  <c r="AD117" i="6"/>
  <c r="H117" i="6"/>
  <c r="F117" i="6"/>
  <c r="AS117" i="6" s="1"/>
  <c r="AF116" i="6"/>
  <c r="AD116" i="6"/>
  <c r="H116" i="6"/>
  <c r="F116" i="6"/>
  <c r="AS116" i="6" s="1"/>
  <c r="AF115" i="6"/>
  <c r="H115" i="6"/>
  <c r="F115" i="6"/>
  <c r="AQ114" i="6"/>
  <c r="AO114" i="6"/>
  <c r="AN114" i="6"/>
  <c r="AM114" i="6"/>
  <c r="AL114" i="6"/>
  <c r="AK114" i="6"/>
  <c r="AJ114" i="6"/>
  <c r="AI114" i="6"/>
  <c r="AH114" i="6"/>
  <c r="AG114" i="6"/>
  <c r="Q114" i="6"/>
  <c r="P114" i="6"/>
  <c r="O114" i="6"/>
  <c r="N114" i="6"/>
  <c r="M114" i="6"/>
  <c r="L114" i="6"/>
  <c r="K114" i="6"/>
  <c r="J114" i="6"/>
  <c r="I114" i="6"/>
  <c r="AF113" i="6"/>
  <c r="AD113" i="6"/>
  <c r="H113" i="6"/>
  <c r="F113" i="6"/>
  <c r="AF112" i="6"/>
  <c r="AD112" i="6"/>
  <c r="H112" i="6"/>
  <c r="F112" i="6"/>
  <c r="AS112" i="6" s="1"/>
  <c r="AF111" i="6"/>
  <c r="H111" i="6"/>
  <c r="F111" i="6"/>
  <c r="AR110" i="6"/>
  <c r="AO110" i="6"/>
  <c r="AN110" i="6"/>
  <c r="AM110" i="6"/>
  <c r="AL110" i="6"/>
  <c r="AK110" i="6"/>
  <c r="AJ110" i="6"/>
  <c r="AI110" i="6"/>
  <c r="AH110" i="6"/>
  <c r="AG110" i="6"/>
  <c r="Q110" i="6"/>
  <c r="P110" i="6"/>
  <c r="O110" i="6"/>
  <c r="N110" i="6"/>
  <c r="M110" i="6"/>
  <c r="L110" i="6"/>
  <c r="K110" i="6"/>
  <c r="J110" i="6"/>
  <c r="I110" i="6"/>
  <c r="AF109" i="6"/>
  <c r="AD109" i="6"/>
  <c r="H109" i="6"/>
  <c r="F109" i="6"/>
  <c r="AF108" i="6"/>
  <c r="AD108" i="6"/>
  <c r="H108" i="6"/>
  <c r="F108" i="6"/>
  <c r="AF107" i="6"/>
  <c r="H107" i="6"/>
  <c r="F107" i="6"/>
  <c r="AR106" i="6"/>
  <c r="AO106" i="6"/>
  <c r="AN106" i="6"/>
  <c r="AM106" i="6"/>
  <c r="AL106" i="6"/>
  <c r="AK106" i="6"/>
  <c r="AJ106" i="6"/>
  <c r="AI106" i="6"/>
  <c r="AH106" i="6"/>
  <c r="AG106" i="6"/>
  <c r="Q106" i="6"/>
  <c r="P106" i="6"/>
  <c r="O106" i="6"/>
  <c r="N106" i="6"/>
  <c r="M106" i="6"/>
  <c r="L106" i="6"/>
  <c r="K106" i="6"/>
  <c r="J106" i="6"/>
  <c r="I106" i="6"/>
  <c r="AF105" i="6"/>
  <c r="AD105" i="6"/>
  <c r="H105" i="6"/>
  <c r="F105" i="6"/>
  <c r="AS105" i="6" s="1"/>
  <c r="AF104" i="6"/>
  <c r="AD104" i="6"/>
  <c r="H104" i="6"/>
  <c r="F104" i="6"/>
  <c r="AS104" i="6" s="1"/>
  <c r="AF103" i="6"/>
  <c r="H103" i="6"/>
  <c r="F103" i="6"/>
  <c r="AF102" i="6"/>
  <c r="AD102" i="6"/>
  <c r="H102" i="6"/>
  <c r="F102" i="6"/>
  <c r="AR101" i="6"/>
  <c r="AO101" i="6"/>
  <c r="AN101" i="6"/>
  <c r="AM101" i="6"/>
  <c r="AL101" i="6"/>
  <c r="AK101" i="6"/>
  <c r="AJ101" i="6"/>
  <c r="AI101" i="6"/>
  <c r="AH101" i="6"/>
  <c r="AG101" i="6"/>
  <c r="Q101" i="6"/>
  <c r="P101" i="6"/>
  <c r="O101" i="6"/>
  <c r="N101" i="6"/>
  <c r="M101" i="6"/>
  <c r="L101" i="6"/>
  <c r="K101" i="6"/>
  <c r="J101" i="6"/>
  <c r="I101" i="6"/>
  <c r="AF100" i="6"/>
  <c r="AD100" i="6"/>
  <c r="H100" i="6"/>
  <c r="F100" i="6"/>
  <c r="AS100" i="6" s="1"/>
  <c r="AF99" i="6"/>
  <c r="AD99" i="6"/>
  <c r="H99" i="6"/>
  <c r="F99" i="6"/>
  <c r="AS99" i="6" s="1"/>
  <c r="AF98" i="6"/>
  <c r="AD98" i="6"/>
  <c r="H98" i="6"/>
  <c r="F98" i="6"/>
  <c r="AS98" i="6" s="1"/>
  <c r="AF97" i="6"/>
  <c r="AD97" i="6"/>
  <c r="H97" i="6"/>
  <c r="F97" i="6"/>
  <c r="AS97" i="6" s="1"/>
  <c r="AF96" i="6"/>
  <c r="AD96" i="6"/>
  <c r="H96" i="6"/>
  <c r="F96" i="6"/>
  <c r="AF95" i="6"/>
  <c r="H95" i="6"/>
  <c r="F95" i="6"/>
  <c r="AQ94" i="6"/>
  <c r="AR94" i="6" s="1"/>
  <c r="AO94" i="6"/>
  <c r="AN94" i="6"/>
  <c r="AM94" i="6"/>
  <c r="AL94" i="6"/>
  <c r="AK94" i="6"/>
  <c r="AJ94" i="6"/>
  <c r="AI94" i="6"/>
  <c r="AH94" i="6"/>
  <c r="AG94" i="6"/>
  <c r="Q94" i="6"/>
  <c r="P94" i="6"/>
  <c r="O94" i="6"/>
  <c r="N94" i="6"/>
  <c r="M94" i="6"/>
  <c r="L94" i="6"/>
  <c r="K94" i="6"/>
  <c r="J94" i="6"/>
  <c r="I94" i="6"/>
  <c r="AF93" i="6"/>
  <c r="AD93" i="6"/>
  <c r="H93" i="6"/>
  <c r="F93" i="6"/>
  <c r="AS93" i="6" s="1"/>
  <c r="AF92" i="6"/>
  <c r="AD92" i="6"/>
  <c r="H92" i="6"/>
  <c r="F92" i="6"/>
  <c r="AS92" i="6" s="1"/>
  <c r="AF91" i="6"/>
  <c r="AD91" i="6"/>
  <c r="H91" i="6"/>
  <c r="F91" i="6"/>
  <c r="AS91" i="6" s="1"/>
  <c r="AF90" i="6"/>
  <c r="AD90" i="6"/>
  <c r="H90" i="6"/>
  <c r="F90" i="6"/>
  <c r="AS90" i="6" s="1"/>
  <c r="AF89" i="6"/>
  <c r="H89" i="6"/>
  <c r="F89" i="6"/>
  <c r="AF88" i="6"/>
  <c r="AD88" i="6"/>
  <c r="H88" i="6"/>
  <c r="F88" i="6"/>
  <c r="AQ87" i="6"/>
  <c r="AR87" i="6" s="1"/>
  <c r="AO87" i="6"/>
  <c r="AN87" i="6"/>
  <c r="AM87" i="6"/>
  <c r="AL87" i="6"/>
  <c r="AK87" i="6"/>
  <c r="AJ87" i="6"/>
  <c r="AI87" i="6"/>
  <c r="AH87" i="6"/>
  <c r="AG87" i="6"/>
  <c r="Q87" i="6"/>
  <c r="P87" i="6"/>
  <c r="O87" i="6"/>
  <c r="N87" i="6"/>
  <c r="M87" i="6"/>
  <c r="L87" i="6"/>
  <c r="K87" i="6"/>
  <c r="J87" i="6"/>
  <c r="I87" i="6"/>
  <c r="AP86" i="6"/>
  <c r="AF85" i="6"/>
  <c r="AE85" i="6" s="1"/>
  <c r="AF84" i="6"/>
  <c r="AE84" i="6" s="1"/>
  <c r="AF83" i="6"/>
  <c r="AD83" i="6"/>
  <c r="H83" i="6"/>
  <c r="F83" i="6"/>
  <c r="AF82" i="6"/>
  <c r="AD82" i="6"/>
  <c r="H82" i="6"/>
  <c r="F82" i="6"/>
  <c r="AS82" i="6" s="1"/>
  <c r="AF81" i="6"/>
  <c r="AD81" i="6"/>
  <c r="H81" i="6"/>
  <c r="F81" i="6"/>
  <c r="AQ80" i="6"/>
  <c r="AR80" i="6" s="1"/>
  <c r="Q80" i="6"/>
  <c r="P80" i="6"/>
  <c r="O80" i="6"/>
  <c r="N80" i="6"/>
  <c r="M80" i="6"/>
  <c r="L80" i="6"/>
  <c r="K80" i="6"/>
  <c r="J80" i="6"/>
  <c r="I80" i="6"/>
  <c r="AF79" i="6"/>
  <c r="AD79" i="6"/>
  <c r="H79" i="6"/>
  <c r="F79" i="6"/>
  <c r="AF78" i="6"/>
  <c r="AD78" i="6"/>
  <c r="H78" i="6"/>
  <c r="F78" i="6"/>
  <c r="AS78" i="6" s="1"/>
  <c r="AQ77" i="6"/>
  <c r="AR77" i="6" s="1"/>
  <c r="AO77" i="6"/>
  <c r="AN77" i="6"/>
  <c r="AM77" i="6"/>
  <c r="AL77" i="6"/>
  <c r="AK77" i="6"/>
  <c r="AJ77" i="6"/>
  <c r="AI77" i="6"/>
  <c r="AH77" i="6"/>
  <c r="AG77" i="6"/>
  <c r="Q77" i="6"/>
  <c r="P77" i="6"/>
  <c r="O77" i="6"/>
  <c r="N77" i="6"/>
  <c r="M77" i="6"/>
  <c r="L77" i="6"/>
  <c r="K77" i="6"/>
  <c r="J77" i="6"/>
  <c r="I77" i="6"/>
  <c r="AF76" i="6"/>
  <c r="AE76" i="6" s="1"/>
  <c r="H76" i="6"/>
  <c r="F76" i="6"/>
  <c r="AF75" i="6"/>
  <c r="H75" i="6"/>
  <c r="F75" i="6"/>
  <c r="AF74" i="6"/>
  <c r="H74" i="6"/>
  <c r="F74" i="6"/>
  <c r="AF73" i="6"/>
  <c r="H73" i="6"/>
  <c r="F73" i="6"/>
  <c r="AF72" i="6"/>
  <c r="H72" i="6"/>
  <c r="F72" i="6"/>
  <c r="AR71" i="6"/>
  <c r="AO71" i="6"/>
  <c r="AN71" i="6"/>
  <c r="AM71" i="6"/>
  <c r="AL71" i="6"/>
  <c r="AK71" i="6"/>
  <c r="AJ71" i="6"/>
  <c r="AI71" i="6"/>
  <c r="AH71" i="6"/>
  <c r="AG71" i="6"/>
  <c r="AD71" i="6"/>
  <c r="Q71" i="6"/>
  <c r="P71" i="6"/>
  <c r="O71" i="6"/>
  <c r="N71" i="6"/>
  <c r="M71" i="6"/>
  <c r="L71" i="6"/>
  <c r="K71" i="6"/>
  <c r="J71" i="6"/>
  <c r="I71" i="6"/>
  <c r="AF70" i="6"/>
  <c r="AD70" i="6"/>
  <c r="AD65" i="6" s="1"/>
  <c r="H70" i="6"/>
  <c r="F70" i="6"/>
  <c r="AF69" i="6"/>
  <c r="H69" i="6"/>
  <c r="F69" i="6"/>
  <c r="AF68" i="6"/>
  <c r="H68" i="6"/>
  <c r="F68" i="6"/>
  <c r="AF67" i="6"/>
  <c r="H67" i="6"/>
  <c r="F67" i="6"/>
  <c r="AF66" i="6"/>
  <c r="H66" i="6"/>
  <c r="F66" i="6"/>
  <c r="AR65" i="6"/>
  <c r="AO65" i="6"/>
  <c r="AN65" i="6"/>
  <c r="AM65" i="6"/>
  <c r="AL65" i="6"/>
  <c r="AK65" i="6"/>
  <c r="AJ65" i="6"/>
  <c r="AI65" i="6"/>
  <c r="AH65" i="6"/>
  <c r="AG65" i="6"/>
  <c r="Q65" i="6"/>
  <c r="P65" i="6"/>
  <c r="O65" i="6"/>
  <c r="N65" i="6"/>
  <c r="M65" i="6"/>
  <c r="L65" i="6"/>
  <c r="K65" i="6"/>
  <c r="J65" i="6"/>
  <c r="I65" i="6"/>
  <c r="AF64" i="6"/>
  <c r="AD64" i="6"/>
  <c r="H64" i="6"/>
  <c r="F64" i="6"/>
  <c r="AG63" i="6"/>
  <c r="AF63" i="6" s="1"/>
  <c r="AD63" i="6"/>
  <c r="F63" i="6"/>
  <c r="AG62" i="6"/>
  <c r="AF62" i="6" s="1"/>
  <c r="AD62" i="6"/>
  <c r="E62" i="6"/>
  <c r="F62" i="6" s="1"/>
  <c r="AO61" i="6"/>
  <c r="AN61" i="6"/>
  <c r="AM61" i="6"/>
  <c r="AL61" i="6"/>
  <c r="AK61" i="6"/>
  <c r="AJ61" i="6"/>
  <c r="AI61" i="6"/>
  <c r="AH61" i="6"/>
  <c r="Q61" i="6"/>
  <c r="P61" i="6"/>
  <c r="O61" i="6"/>
  <c r="N61" i="6"/>
  <c r="M61" i="6"/>
  <c r="L61" i="6"/>
  <c r="K61" i="6"/>
  <c r="J61" i="6"/>
  <c r="AF60" i="6"/>
  <c r="AE60" i="6" s="1"/>
  <c r="H60" i="6"/>
  <c r="F60" i="6"/>
  <c r="AF59" i="6"/>
  <c r="H59" i="6"/>
  <c r="F59" i="6"/>
  <c r="AF58" i="6"/>
  <c r="F58" i="6"/>
  <c r="AF57" i="6"/>
  <c r="H57" i="6"/>
  <c r="F57" i="6"/>
  <c r="AR56" i="6"/>
  <c r="AO56" i="6"/>
  <c r="AN56" i="6"/>
  <c r="AM56" i="6"/>
  <c r="AL56" i="6"/>
  <c r="AK56" i="6"/>
  <c r="AJ56" i="6"/>
  <c r="AI56" i="6"/>
  <c r="AH56" i="6"/>
  <c r="AG56" i="6"/>
  <c r="AD56" i="6"/>
  <c r="Q56" i="6"/>
  <c r="P56" i="6"/>
  <c r="O56" i="6"/>
  <c r="N56" i="6"/>
  <c r="M56" i="6"/>
  <c r="L56" i="6"/>
  <c r="K56" i="6"/>
  <c r="J56" i="6"/>
  <c r="I56" i="6"/>
  <c r="AF55" i="6"/>
  <c r="AD55" i="6"/>
  <c r="H55" i="6"/>
  <c r="F55" i="6"/>
  <c r="AF54" i="6"/>
  <c r="AD54" i="6"/>
  <c r="H54" i="6"/>
  <c r="F54" i="6"/>
  <c r="AS54" i="6" s="1"/>
  <c r="AF53" i="6"/>
  <c r="AD53" i="6"/>
  <c r="H53" i="6"/>
  <c r="F53" i="6"/>
  <c r="AS53" i="6" s="1"/>
  <c r="AF52" i="6"/>
  <c r="AE52" i="6" s="1"/>
  <c r="H52" i="6"/>
  <c r="F52" i="6"/>
  <c r="AF51" i="6"/>
  <c r="H51" i="6"/>
  <c r="F51" i="6"/>
  <c r="AR50" i="6"/>
  <c r="AO50" i="6"/>
  <c r="AN50" i="6"/>
  <c r="AM50" i="6"/>
  <c r="AL50" i="6"/>
  <c r="AK50" i="6"/>
  <c r="AJ50" i="6"/>
  <c r="AI50" i="6"/>
  <c r="AH50" i="6"/>
  <c r="AG50" i="6"/>
  <c r="Q50" i="6"/>
  <c r="P50" i="6"/>
  <c r="O50" i="6"/>
  <c r="N50" i="6"/>
  <c r="M50" i="6"/>
  <c r="L50" i="6"/>
  <c r="K50" i="6"/>
  <c r="J50" i="6"/>
  <c r="I50" i="6"/>
  <c r="AF49" i="6"/>
  <c r="AE49" i="6" s="1"/>
  <c r="H49" i="6"/>
  <c r="F49" i="6"/>
  <c r="AF48" i="6"/>
  <c r="H48" i="6"/>
  <c r="F48" i="6"/>
  <c r="AF47" i="6"/>
  <c r="AD47" i="6"/>
  <c r="H47" i="6"/>
  <c r="F47" i="6"/>
  <c r="AS47" i="6" s="1"/>
  <c r="AF46" i="6"/>
  <c r="AD46" i="6"/>
  <c r="H46" i="6"/>
  <c r="F46" i="6"/>
  <c r="AS46" i="6" s="1"/>
  <c r="AF45" i="6"/>
  <c r="H45" i="6"/>
  <c r="F45" i="6"/>
  <c r="AF44" i="6"/>
  <c r="H44" i="6"/>
  <c r="F44" i="6"/>
  <c r="AQ43" i="6"/>
  <c r="AR43" i="6" s="1"/>
  <c r="AO43" i="6"/>
  <c r="AN43" i="6"/>
  <c r="AM43" i="6"/>
  <c r="AL43" i="6"/>
  <c r="AK43" i="6"/>
  <c r="AJ43" i="6"/>
  <c r="AI43" i="6"/>
  <c r="AH43" i="6"/>
  <c r="AG43" i="6"/>
  <c r="Q43" i="6"/>
  <c r="P43" i="6"/>
  <c r="O43" i="6"/>
  <c r="N43" i="6"/>
  <c r="M43" i="6"/>
  <c r="L43" i="6"/>
  <c r="K43" i="6"/>
  <c r="J43" i="6"/>
  <c r="I43" i="6"/>
  <c r="AG42" i="6"/>
  <c r="AD42" i="6"/>
  <c r="F42" i="6"/>
  <c r="I42" i="6" s="1"/>
  <c r="H42" i="6" s="1"/>
  <c r="G42" i="6" s="1"/>
  <c r="AG41" i="6"/>
  <c r="AF41" i="6" s="1"/>
  <c r="F41" i="6"/>
  <c r="AF40" i="6"/>
  <c r="AD40" i="6"/>
  <c r="H40" i="6"/>
  <c r="F40" i="6"/>
  <c r="AS40" i="6" s="1"/>
  <c r="AF39" i="6"/>
  <c r="AD39" i="6"/>
  <c r="H39" i="6"/>
  <c r="F39" i="6"/>
  <c r="AS39" i="6" s="1"/>
  <c r="AQ38" i="6"/>
  <c r="AR38" i="6" s="1"/>
  <c r="AO38" i="6"/>
  <c r="AN38" i="6"/>
  <c r="AM38" i="6"/>
  <c r="AL38" i="6"/>
  <c r="AK38" i="6"/>
  <c r="AJ38" i="6"/>
  <c r="AI38" i="6"/>
  <c r="AH38" i="6"/>
  <c r="Q38" i="6"/>
  <c r="P38" i="6"/>
  <c r="O38" i="6"/>
  <c r="N38" i="6"/>
  <c r="M38" i="6"/>
  <c r="L38" i="6"/>
  <c r="K38" i="6"/>
  <c r="J38" i="6"/>
  <c r="AP37" i="6"/>
  <c r="AG36" i="6"/>
  <c r="AF36" i="6" s="1"/>
  <c r="AE36" i="6" s="1"/>
  <c r="I36" i="6"/>
  <c r="H36" i="6" s="1"/>
  <c r="G36" i="6" s="1"/>
  <c r="AG35" i="6"/>
  <c r="AF35" i="6" s="1"/>
  <c r="AE35" i="6" s="1"/>
  <c r="I35" i="6"/>
  <c r="H35" i="6" s="1"/>
  <c r="G35" i="6" s="1"/>
  <c r="AO34" i="6"/>
  <c r="AN34" i="6"/>
  <c r="AM34" i="6"/>
  <c r="AL34" i="6"/>
  <c r="AK34" i="6"/>
  <c r="AJ34" i="6"/>
  <c r="AI34" i="6"/>
  <c r="AH34" i="6"/>
  <c r="AD34" i="6"/>
  <c r="Q34" i="6"/>
  <c r="P34" i="6"/>
  <c r="O34" i="6"/>
  <c r="N34" i="6"/>
  <c r="M34" i="6"/>
  <c r="L34" i="6"/>
  <c r="K34" i="6"/>
  <c r="J34" i="6"/>
  <c r="F34" i="6"/>
  <c r="AG33" i="6"/>
  <c r="AF33" i="6" s="1"/>
  <c r="AE33" i="6" s="1"/>
  <c r="I33" i="6"/>
  <c r="H33" i="6" s="1"/>
  <c r="G33" i="6" s="1"/>
  <c r="AG32" i="6"/>
  <c r="AF32" i="6" s="1"/>
  <c r="AE32" i="6" s="1"/>
  <c r="I32" i="6"/>
  <c r="H32" i="6" s="1"/>
  <c r="G32" i="6" s="1"/>
  <c r="AR31" i="6"/>
  <c r="AO31" i="6"/>
  <c r="AN31" i="6"/>
  <c r="AM31" i="6"/>
  <c r="AL31" i="6"/>
  <c r="AK31" i="6"/>
  <c r="AJ31" i="6"/>
  <c r="AI31" i="6"/>
  <c r="AH31" i="6"/>
  <c r="AD31" i="6"/>
  <c r="Q31" i="6"/>
  <c r="P31" i="6"/>
  <c r="O31" i="6"/>
  <c r="N31" i="6"/>
  <c r="M31" i="6"/>
  <c r="L31" i="6"/>
  <c r="K31" i="6"/>
  <c r="J31" i="6"/>
  <c r="F31" i="6"/>
  <c r="AG30" i="6"/>
  <c r="I30" i="6"/>
  <c r="H30" i="6" s="1"/>
  <c r="G30" i="6" s="1"/>
  <c r="AG29" i="6"/>
  <c r="AF29" i="6" s="1"/>
  <c r="AE29" i="6" s="1"/>
  <c r="I29" i="6"/>
  <c r="H29" i="6" s="1"/>
  <c r="G29" i="6" s="1"/>
  <c r="AR28" i="6"/>
  <c r="AO28" i="6"/>
  <c r="AN28" i="6"/>
  <c r="AM28" i="6"/>
  <c r="AL28" i="6"/>
  <c r="AK28" i="6"/>
  <c r="AJ28" i="6"/>
  <c r="AI28" i="6"/>
  <c r="AH28" i="6"/>
  <c r="AD28" i="6"/>
  <c r="Q28" i="6"/>
  <c r="P28" i="6"/>
  <c r="O28" i="6"/>
  <c r="N28" i="6"/>
  <c r="M28" i="6"/>
  <c r="L28" i="6"/>
  <c r="K28" i="6"/>
  <c r="J28" i="6"/>
  <c r="F28" i="6"/>
  <c r="AG27" i="6"/>
  <c r="AF27" i="6" s="1"/>
  <c r="AE27" i="6" s="1"/>
  <c r="I27" i="6"/>
  <c r="H27" i="6" s="1"/>
  <c r="G27" i="6" s="1"/>
  <c r="AG26" i="6"/>
  <c r="AF26" i="6" s="1"/>
  <c r="AE26" i="6" s="1"/>
  <c r="I26" i="6"/>
  <c r="H26" i="6" s="1"/>
  <c r="G26" i="6" s="1"/>
  <c r="AG25" i="6"/>
  <c r="AF25" i="6" s="1"/>
  <c r="AE25" i="6" s="1"/>
  <c r="I25" i="6"/>
  <c r="H25" i="6" s="1"/>
  <c r="G25" i="6" s="1"/>
  <c r="AR24" i="6"/>
  <c r="AO24" i="6"/>
  <c r="AN24" i="6"/>
  <c r="AM24" i="6"/>
  <c r="AL24" i="6"/>
  <c r="AK24" i="6"/>
  <c r="AJ24" i="6"/>
  <c r="AI24" i="6"/>
  <c r="AH24" i="6"/>
  <c r="AD24" i="6"/>
  <c r="Q24" i="6"/>
  <c r="P24" i="6"/>
  <c r="O24" i="6"/>
  <c r="N24" i="6"/>
  <c r="M24" i="6"/>
  <c r="L24" i="6"/>
  <c r="K24" i="6"/>
  <c r="J24" i="6"/>
  <c r="F24" i="6"/>
  <c r="AQ23" i="6"/>
  <c r="AP23" i="6"/>
  <c r="AG22" i="6"/>
  <c r="AF22" i="6" s="1"/>
  <c r="AD22" i="6"/>
  <c r="F22" i="6"/>
  <c r="I22" i="6" s="1"/>
  <c r="H22" i="6" s="1"/>
  <c r="G22" i="6" s="1"/>
  <c r="AG21" i="6"/>
  <c r="AF21" i="6" s="1"/>
  <c r="AD21" i="6"/>
  <c r="F21" i="6"/>
  <c r="AF20" i="6"/>
  <c r="H20" i="6"/>
  <c r="F20" i="6"/>
  <c r="AG19" i="6"/>
  <c r="AF19" i="6" s="1"/>
  <c r="F19" i="6"/>
  <c r="AG18" i="6"/>
  <c r="AF18" i="6" s="1"/>
  <c r="F18" i="6"/>
  <c r="AR17" i="6"/>
  <c r="AO17" i="6"/>
  <c r="AN17" i="6"/>
  <c r="AM17" i="6"/>
  <c r="AL17" i="6"/>
  <c r="AK17" i="6"/>
  <c r="AJ17" i="6"/>
  <c r="AI17" i="6"/>
  <c r="AH17" i="6"/>
  <c r="Q17" i="6"/>
  <c r="P17" i="6"/>
  <c r="O17" i="6"/>
  <c r="N17" i="6"/>
  <c r="M17" i="6"/>
  <c r="L17" i="6"/>
  <c r="K17" i="6"/>
  <c r="J17" i="6"/>
  <c r="AG16" i="6"/>
  <c r="AF16" i="6" s="1"/>
  <c r="AD16" i="6"/>
  <c r="F16" i="6"/>
  <c r="I16" i="6" s="1"/>
  <c r="H16" i="6" s="1"/>
  <c r="G16" i="6" s="1"/>
  <c r="AF15" i="6"/>
  <c r="H15" i="6"/>
  <c r="F15" i="6"/>
  <c r="AF14" i="6"/>
  <c r="F14" i="6"/>
  <c r="AF13" i="6"/>
  <c r="F13" i="6"/>
  <c r="AF12" i="6"/>
  <c r="F12" i="6"/>
  <c r="AF11" i="6"/>
  <c r="F11" i="6"/>
  <c r="AF10" i="6"/>
  <c r="F10" i="6"/>
  <c r="AF9" i="6"/>
  <c r="F9" i="6"/>
  <c r="AF8" i="6"/>
  <c r="F8" i="6"/>
  <c r="AF7" i="6"/>
  <c r="AD7" i="6"/>
  <c r="F7" i="6"/>
  <c r="AS7" i="6" s="1"/>
  <c r="AQ6" i="6"/>
  <c r="AR6" i="6" s="1"/>
  <c r="AO6" i="6"/>
  <c r="AN6" i="6"/>
  <c r="AM6" i="6"/>
  <c r="AL6" i="6"/>
  <c r="AK6" i="6"/>
  <c r="AJ6" i="6"/>
  <c r="AI6" i="6"/>
  <c r="AI5" i="6" s="1"/>
  <c r="AH6" i="6"/>
  <c r="AG6" i="6"/>
  <c r="Q6" i="6"/>
  <c r="P6" i="6"/>
  <c r="O6" i="6"/>
  <c r="N6" i="6"/>
  <c r="M6" i="6"/>
  <c r="L6" i="6"/>
  <c r="K6" i="6"/>
  <c r="J6" i="6"/>
  <c r="AP5" i="6"/>
  <c r="AJ3" i="6"/>
  <c r="AI3" i="6"/>
  <c r="AH3" i="6"/>
  <c r="AN5" i="6" l="1"/>
  <c r="W5" i="6"/>
  <c r="AA440" i="6"/>
  <c r="S461" i="6"/>
  <c r="H453" i="6"/>
  <c r="F512" i="6"/>
  <c r="Z5" i="6"/>
  <c r="AD312" i="6"/>
  <c r="Y421" i="6"/>
  <c r="R363" i="6"/>
  <c r="W440" i="6"/>
  <c r="X482" i="6"/>
  <c r="X466" i="6" s="1"/>
  <c r="AJ5" i="6"/>
  <c r="AD384" i="6"/>
  <c r="F507" i="6"/>
  <c r="AU541" i="6"/>
  <c r="AA5" i="6"/>
  <c r="AM5" i="6"/>
  <c r="F256" i="6"/>
  <c r="AE542" i="6"/>
  <c r="F464" i="6"/>
  <c r="AS464" i="6" s="1"/>
  <c r="F308" i="6"/>
  <c r="AM494" i="6"/>
  <c r="V5" i="6"/>
  <c r="F122" i="6"/>
  <c r="AD94" i="6"/>
  <c r="K451" i="6"/>
  <c r="K440" i="6" s="1"/>
  <c r="AC383" i="6"/>
  <c r="F199" i="6"/>
  <c r="AD106" i="6"/>
  <c r="AU546" i="6"/>
  <c r="AD199" i="6"/>
  <c r="AK5" i="6"/>
  <c r="AD256" i="6"/>
  <c r="R17" i="6"/>
  <c r="Y383" i="6"/>
  <c r="Y466" i="6"/>
  <c r="AC466" i="6"/>
  <c r="L5" i="6"/>
  <c r="P5" i="6"/>
  <c r="W514" i="6"/>
  <c r="AL532" i="6"/>
  <c r="W482" i="6"/>
  <c r="J5" i="6"/>
  <c r="N5" i="6"/>
  <c r="AJ329" i="6"/>
  <c r="AN329" i="6"/>
  <c r="AU333" i="6"/>
  <c r="AV338" i="6"/>
  <c r="AV339" i="6"/>
  <c r="AV341" i="6"/>
  <c r="AV414" i="6"/>
  <c r="AV415" i="6"/>
  <c r="AV416" i="6"/>
  <c r="AV417" i="6"/>
  <c r="AV418" i="6"/>
  <c r="AV419" i="6"/>
  <c r="AV424" i="6"/>
  <c r="AU426" i="6"/>
  <c r="AV428" i="6"/>
  <c r="AV429" i="6"/>
  <c r="AV431" i="6"/>
  <c r="AU436" i="6"/>
  <c r="AU501" i="6"/>
  <c r="AU502" i="6"/>
  <c r="AV508" i="6"/>
  <c r="AV509" i="6"/>
  <c r="AV510" i="6"/>
  <c r="AB23" i="6"/>
  <c r="AV465" i="6"/>
  <c r="F110" i="6"/>
  <c r="G112" i="6"/>
  <c r="G113" i="6"/>
  <c r="G121" i="6"/>
  <c r="AU132" i="6"/>
  <c r="J193" i="6"/>
  <c r="H193" i="6" s="1"/>
  <c r="G201" i="6"/>
  <c r="G203" i="6"/>
  <c r="AL383" i="6"/>
  <c r="AH520" i="6"/>
  <c r="AF520" i="6" s="1"/>
  <c r="X23" i="6"/>
  <c r="AN37" i="6"/>
  <c r="AK86" i="6"/>
  <c r="AV442" i="6"/>
  <c r="AV447" i="6"/>
  <c r="AQ532" i="6"/>
  <c r="AC168" i="6"/>
  <c r="Y408" i="6"/>
  <c r="T408" i="6" s="1"/>
  <c r="AG61" i="6"/>
  <c r="AF61" i="6" s="1"/>
  <c r="Y514" i="6"/>
  <c r="AJ37" i="6"/>
  <c r="J217" i="6"/>
  <c r="N217" i="6"/>
  <c r="AI262" i="6"/>
  <c r="AM262" i="6"/>
  <c r="F441" i="6"/>
  <c r="AS441" i="6" s="1"/>
  <c r="S300" i="6"/>
  <c r="W383" i="6"/>
  <c r="AU39" i="6"/>
  <c r="AU40" i="6"/>
  <c r="AU82" i="6"/>
  <c r="AB217" i="6"/>
  <c r="AE283" i="6"/>
  <c r="AV511" i="6"/>
  <c r="AV513" i="6"/>
  <c r="AD533" i="6"/>
  <c r="Y5" i="6"/>
  <c r="AD17" i="6"/>
  <c r="AU88" i="6"/>
  <c r="AV90" i="6"/>
  <c r="AV91" i="6"/>
  <c r="AI86" i="6"/>
  <c r="AM86" i="6"/>
  <c r="AV104" i="6"/>
  <c r="AV105" i="6"/>
  <c r="AU112" i="6"/>
  <c r="AV125" i="6"/>
  <c r="AV196" i="6"/>
  <c r="AU201" i="6"/>
  <c r="AU202" i="6"/>
  <c r="AV216" i="6"/>
  <c r="AH275" i="6"/>
  <c r="AV299" i="6"/>
  <c r="AV303" i="6"/>
  <c r="AU468" i="6"/>
  <c r="AU469" i="6"/>
  <c r="AU470" i="6"/>
  <c r="AP466" i="6"/>
  <c r="S124" i="6"/>
  <c r="AN168" i="6"/>
  <c r="AU172" i="6"/>
  <c r="AU173" i="6"/>
  <c r="AU174" i="6"/>
  <c r="AL238" i="6"/>
  <c r="F239" i="6"/>
  <c r="AU279" i="6"/>
  <c r="AI383" i="6"/>
  <c r="AM383" i="6"/>
  <c r="AV426" i="6"/>
  <c r="AV435" i="6"/>
  <c r="AV436" i="6"/>
  <c r="AQ494" i="6"/>
  <c r="AR494" i="6" s="1"/>
  <c r="G498" i="6"/>
  <c r="AV502" i="6"/>
  <c r="AU522" i="6"/>
  <c r="AJ532" i="6"/>
  <c r="AN532" i="6"/>
  <c r="AU568" i="6"/>
  <c r="AU572" i="6"/>
  <c r="AU576" i="6"/>
  <c r="AU583" i="6"/>
  <c r="AU587" i="6"/>
  <c r="AU588" i="6"/>
  <c r="AA238" i="6"/>
  <c r="S244" i="6"/>
  <c r="R368" i="6"/>
  <c r="AA407" i="6"/>
  <c r="T420" i="6"/>
  <c r="G53" i="6"/>
  <c r="G54" i="6"/>
  <c r="G55" i="6"/>
  <c r="G57" i="6"/>
  <c r="AU63" i="6"/>
  <c r="G64" i="6"/>
  <c r="G69" i="6"/>
  <c r="F169" i="6"/>
  <c r="G244" i="6"/>
  <c r="AE265" i="6"/>
  <c r="AO262" i="6"/>
  <c r="M275" i="6"/>
  <c r="AJ275" i="6"/>
  <c r="AN275" i="6"/>
  <c r="AF408" i="6"/>
  <c r="AQ407" i="6"/>
  <c r="AG407" i="6"/>
  <c r="G434" i="6"/>
  <c r="AE506" i="6"/>
  <c r="AI532" i="6"/>
  <c r="AM532" i="6"/>
  <c r="AU595" i="6"/>
  <c r="Y23" i="6"/>
  <c r="AC23" i="6"/>
  <c r="X37" i="6"/>
  <c r="AB37" i="6"/>
  <c r="S70" i="6"/>
  <c r="AA86" i="6"/>
  <c r="S506" i="6"/>
  <c r="K5" i="6"/>
  <c r="G52" i="6"/>
  <c r="AU53" i="6"/>
  <c r="AU54" i="6"/>
  <c r="AQ5" i="6"/>
  <c r="AR5" i="6" s="1"/>
  <c r="M5" i="6"/>
  <c r="Q5" i="6"/>
  <c r="AH23" i="6"/>
  <c r="AL23" i="6"/>
  <c r="I28" i="6"/>
  <c r="H28" i="6" s="1"/>
  <c r="G28" i="6" s="1"/>
  <c r="AJ23" i="6"/>
  <c r="AN23" i="6"/>
  <c r="AU46" i="6"/>
  <c r="AU47" i="6"/>
  <c r="G102" i="6"/>
  <c r="AU136" i="6"/>
  <c r="AU140" i="6"/>
  <c r="AU142" i="6"/>
  <c r="AU150" i="6"/>
  <c r="AK151" i="6"/>
  <c r="AO151" i="6"/>
  <c r="I217" i="6"/>
  <c r="Q217" i="6"/>
  <c r="AJ217" i="6"/>
  <c r="AN217" i="6"/>
  <c r="AI217" i="6"/>
  <c r="AM217" i="6"/>
  <c r="AV237" i="6"/>
  <c r="AV253" i="6"/>
  <c r="AK238" i="6"/>
  <c r="AO238" i="6"/>
  <c r="L262" i="6"/>
  <c r="F330" i="6"/>
  <c r="AS330" i="6" s="1"/>
  <c r="G333" i="6"/>
  <c r="G334" i="6"/>
  <c r="AV344" i="6"/>
  <c r="AV345" i="6"/>
  <c r="AV346" i="6"/>
  <c r="AK329" i="6"/>
  <c r="AU349" i="6"/>
  <c r="AU350" i="6"/>
  <c r="AU351" i="6"/>
  <c r="AJ383" i="6"/>
  <c r="AU493" i="6"/>
  <c r="AU551" i="6"/>
  <c r="X168" i="6"/>
  <c r="AB168" i="6"/>
  <c r="R199" i="6"/>
  <c r="X217" i="6"/>
  <c r="W217" i="6"/>
  <c r="AA217" i="6"/>
  <c r="R256" i="6"/>
  <c r="V262" i="6"/>
  <c r="Z262" i="6"/>
  <c r="AB362" i="6"/>
  <c r="Z532" i="6"/>
  <c r="X532" i="6"/>
  <c r="AF3" i="6"/>
  <c r="O5" i="6"/>
  <c r="AG17" i="6"/>
  <c r="AF17" i="6" s="1"/>
  <c r="I31" i="6"/>
  <c r="H31" i="6" s="1"/>
  <c r="G31" i="6" s="1"/>
  <c r="AU90" i="6"/>
  <c r="AU91" i="6"/>
  <c r="AU92" i="6"/>
  <c r="AU93" i="6"/>
  <c r="AU104" i="6"/>
  <c r="AU105" i="6"/>
  <c r="AF122" i="6"/>
  <c r="AU125" i="6"/>
  <c r="AI168" i="6"/>
  <c r="AM168" i="6"/>
  <c r="AV176" i="6"/>
  <c r="AV177" i="6"/>
  <c r="AU194" i="6"/>
  <c r="AU195" i="6"/>
  <c r="AU196" i="6"/>
  <c r="AL217" i="6"/>
  <c r="AV232" i="6"/>
  <c r="AK262" i="6"/>
  <c r="AU303" i="6"/>
  <c r="H361" i="6"/>
  <c r="G361" i="6" s="1"/>
  <c r="AH383" i="6"/>
  <c r="AV385" i="6"/>
  <c r="AV387" i="6"/>
  <c r="AV392" i="6"/>
  <c r="AV400" i="6"/>
  <c r="AO407" i="6"/>
  <c r="Q466" i="6"/>
  <c r="AH494" i="6"/>
  <c r="W37" i="6"/>
  <c r="AA37" i="6"/>
  <c r="T56" i="6"/>
  <c r="S154" i="6"/>
  <c r="T293" i="6"/>
  <c r="S293" i="6" s="1"/>
  <c r="T298" i="6"/>
  <c r="W340" i="6"/>
  <c r="T340" i="6" s="1"/>
  <c r="V362" i="6"/>
  <c r="Z362" i="6"/>
  <c r="S378" i="6"/>
  <c r="Z407" i="6"/>
  <c r="S523" i="6"/>
  <c r="S537" i="6"/>
  <c r="AQ37" i="6"/>
  <c r="AR37" i="6" s="1"/>
  <c r="AK37" i="6"/>
  <c r="AO37" i="6"/>
  <c r="AD43" i="6"/>
  <c r="AD50" i="6"/>
  <c r="G162" i="6"/>
  <c r="F189" i="6"/>
  <c r="AS189" i="6" s="1"/>
  <c r="L238" i="6"/>
  <c r="AI238" i="6"/>
  <c r="AM238" i="6"/>
  <c r="AN238" i="6"/>
  <c r="AF256" i="6"/>
  <c r="AK275" i="6"/>
  <c r="AQ275" i="6"/>
  <c r="AR275" i="6" s="1"/>
  <c r="AQ329" i="6"/>
  <c r="G377" i="6"/>
  <c r="G392" i="6"/>
  <c r="AJ407" i="6"/>
  <c r="AN407" i="6"/>
  <c r="AU474" i="6"/>
  <c r="AU498" i="6"/>
  <c r="AV531" i="6"/>
  <c r="N532" i="6"/>
  <c r="AH538" i="6"/>
  <c r="AF538" i="6" s="1"/>
  <c r="AE550" i="6"/>
  <c r="AU570" i="6"/>
  <c r="AU574" i="6"/>
  <c r="AU578" i="6"/>
  <c r="AU581" i="6"/>
  <c r="AU585" i="6"/>
  <c r="G592" i="6"/>
  <c r="G593" i="6"/>
  <c r="Y37" i="6"/>
  <c r="AC37" i="6"/>
  <c r="T288" i="6"/>
  <c r="S288" i="6" s="1"/>
  <c r="AA514" i="6"/>
  <c r="AB532" i="6"/>
  <c r="M23" i="6"/>
  <c r="AG31" i="6"/>
  <c r="AF31" i="6" s="1"/>
  <c r="AE31" i="6" s="1"/>
  <c r="I34" i="6"/>
  <c r="H34" i="6" s="1"/>
  <c r="G34" i="6" s="1"/>
  <c r="N37" i="6"/>
  <c r="AH37" i="6"/>
  <c r="AE96" i="6"/>
  <c r="G125" i="6"/>
  <c r="AU133" i="6"/>
  <c r="AU137" i="6"/>
  <c r="AU143" i="6"/>
  <c r="K151" i="6"/>
  <c r="AU177" i="6"/>
  <c r="AE261" i="6"/>
  <c r="AJ262" i="6"/>
  <c r="O262" i="6"/>
  <c r="AV306" i="6"/>
  <c r="AV309" i="6"/>
  <c r="AV310" i="6"/>
  <c r="AU331" i="6"/>
  <c r="AV333" i="6"/>
  <c r="AV366" i="6"/>
  <c r="G369" i="6"/>
  <c r="AF375" i="6"/>
  <c r="AE375" i="6" s="1"/>
  <c r="G391" i="6"/>
  <c r="AU392" i="6"/>
  <c r="AU401" i="6"/>
  <c r="AN440" i="6"/>
  <c r="AF515" i="6"/>
  <c r="J547" i="6"/>
  <c r="H547" i="6" s="1"/>
  <c r="G547" i="6" s="1"/>
  <c r="W23" i="6"/>
  <c r="AA23" i="6"/>
  <c r="V37" i="6"/>
  <c r="Z37" i="6"/>
  <c r="X151" i="6"/>
  <c r="Z168" i="6"/>
  <c r="Z217" i="6"/>
  <c r="W262" i="6"/>
  <c r="AA262" i="6"/>
  <c r="Z275" i="6"/>
  <c r="Y362" i="6"/>
  <c r="AC362" i="6"/>
  <c r="S371" i="6"/>
  <c r="U407" i="6"/>
  <c r="AC407" i="6"/>
  <c r="AA466" i="6"/>
  <c r="Y532" i="6"/>
  <c r="AC532" i="6"/>
  <c r="I8" i="6"/>
  <c r="H8" i="6" s="1"/>
  <c r="G8" i="6" s="1"/>
  <c r="AU8" i="6"/>
  <c r="AS8" i="6"/>
  <c r="I10" i="6"/>
  <c r="H10" i="6" s="1"/>
  <c r="G10" i="6" s="1"/>
  <c r="AU10" i="6"/>
  <c r="AS10" i="6"/>
  <c r="I12" i="6"/>
  <c r="H12" i="6" s="1"/>
  <c r="G12" i="6" s="1"/>
  <c r="AU12" i="6"/>
  <c r="AS12" i="6"/>
  <c r="I14" i="6"/>
  <c r="H14" i="6" s="1"/>
  <c r="G14" i="6" s="1"/>
  <c r="AU14" i="6"/>
  <c r="AS14" i="6"/>
  <c r="AE15" i="6"/>
  <c r="AV15" i="6"/>
  <c r="AE18" i="6"/>
  <c r="AE21" i="6"/>
  <c r="F23" i="6"/>
  <c r="Q23" i="6"/>
  <c r="I41" i="6"/>
  <c r="H41" i="6" s="1"/>
  <c r="G41" i="6" s="1"/>
  <c r="AU41" i="6"/>
  <c r="AS41" i="6"/>
  <c r="AU45" i="6"/>
  <c r="AS45" i="6"/>
  <c r="AU52" i="6"/>
  <c r="AS52" i="6"/>
  <c r="AU59" i="6"/>
  <c r="AS59" i="6"/>
  <c r="AD61" i="6"/>
  <c r="AU62" i="6"/>
  <c r="AE67" i="6"/>
  <c r="AV67" i="6"/>
  <c r="AU69" i="6"/>
  <c r="AS69" i="6"/>
  <c r="AE73" i="6"/>
  <c r="AV73" i="6"/>
  <c r="AU75" i="6"/>
  <c r="AS75" i="6"/>
  <c r="AV78" i="6"/>
  <c r="F80" i="6"/>
  <c r="AS81" i="6"/>
  <c r="F87" i="6"/>
  <c r="AS87" i="6" s="1"/>
  <c r="AS88" i="6"/>
  <c r="AU89" i="6"/>
  <c r="AS89" i="6"/>
  <c r="AE95" i="6"/>
  <c r="AV95" i="6"/>
  <c r="AV97" i="6"/>
  <c r="AV98" i="6"/>
  <c r="AE99" i="6"/>
  <c r="AV99" i="6"/>
  <c r="AE100" i="6"/>
  <c r="AV100" i="6"/>
  <c r="AU103" i="6"/>
  <c r="AS103" i="6"/>
  <c r="G104" i="6"/>
  <c r="AE107" i="6"/>
  <c r="AV107" i="6"/>
  <c r="AE109" i="6"/>
  <c r="G115" i="6"/>
  <c r="AD114" i="6"/>
  <c r="AU116" i="6"/>
  <c r="AU117" i="6"/>
  <c r="F126" i="6"/>
  <c r="Q128" i="6"/>
  <c r="AC128" i="6" s="1"/>
  <c r="AC126" i="6" s="1"/>
  <c r="T126" i="6" s="1"/>
  <c r="AS128" i="6"/>
  <c r="I132" i="6"/>
  <c r="H132" i="6" s="1"/>
  <c r="G132" i="6" s="1"/>
  <c r="AS132" i="6"/>
  <c r="AE134" i="6"/>
  <c r="I136" i="6"/>
  <c r="H136" i="6" s="1"/>
  <c r="G136" i="6" s="1"/>
  <c r="AS136" i="6"/>
  <c r="AE138" i="6"/>
  <c r="I140" i="6"/>
  <c r="H140" i="6" s="1"/>
  <c r="G140" i="6" s="1"/>
  <c r="AS140" i="6"/>
  <c r="I142" i="6"/>
  <c r="H142" i="6" s="1"/>
  <c r="G142" i="6" s="1"/>
  <c r="AS142" i="6"/>
  <c r="AD146" i="6"/>
  <c r="AU148" i="6"/>
  <c r="I150" i="6"/>
  <c r="H150" i="6" s="1"/>
  <c r="G150" i="6" s="1"/>
  <c r="AS150" i="6"/>
  <c r="AE157" i="6"/>
  <c r="AV157" i="6"/>
  <c r="AU159" i="6"/>
  <c r="AS159" i="6"/>
  <c r="AU162" i="6"/>
  <c r="AS162" i="6"/>
  <c r="AV166" i="6"/>
  <c r="K168" i="6"/>
  <c r="O168" i="6"/>
  <c r="AV170" i="6"/>
  <c r="AE179" i="6"/>
  <c r="AV179" i="6"/>
  <c r="AE183" i="6"/>
  <c r="AV183" i="6"/>
  <c r="AV184" i="6"/>
  <c r="AV185" i="6"/>
  <c r="AF186" i="6"/>
  <c r="AE187" i="6"/>
  <c r="AV187" i="6"/>
  <c r="AE188" i="6"/>
  <c r="AE190" i="6"/>
  <c r="AV190" i="6"/>
  <c r="AD193" i="6"/>
  <c r="G211" i="6"/>
  <c r="AU220" i="6"/>
  <c r="AS220" i="6"/>
  <c r="AE222" i="6"/>
  <c r="AV222" i="6"/>
  <c r="AU224" i="6"/>
  <c r="AS224" i="6"/>
  <c r="AE226" i="6"/>
  <c r="AV226" i="6"/>
  <c r="AE227" i="6"/>
  <c r="AV227" i="6"/>
  <c r="AV228" i="6"/>
  <c r="AU230" i="6"/>
  <c r="AS230" i="6"/>
  <c r="AQ238" i="6"/>
  <c r="AE240" i="6"/>
  <c r="AV240" i="6"/>
  <c r="AU242" i="6"/>
  <c r="AS242" i="6"/>
  <c r="AU247" i="6"/>
  <c r="AS247" i="6"/>
  <c r="AE249" i="6"/>
  <c r="AV249" i="6"/>
  <c r="AU251" i="6"/>
  <c r="AS251" i="6"/>
  <c r="AD245" i="6"/>
  <c r="AU253" i="6"/>
  <c r="AE254" i="6"/>
  <c r="AV254" i="6"/>
  <c r="AU260" i="6"/>
  <c r="AS260" i="6"/>
  <c r="F259" i="6"/>
  <c r="AU259" i="6" s="1"/>
  <c r="G261" i="6"/>
  <c r="T367" i="6"/>
  <c r="S367" i="6" s="1"/>
  <c r="U363" i="6"/>
  <c r="AE8" i="6"/>
  <c r="AE10" i="6"/>
  <c r="AV10" i="6"/>
  <c r="AE12" i="6"/>
  <c r="AE14" i="6"/>
  <c r="I19" i="6"/>
  <c r="H19" i="6" s="1"/>
  <c r="G19" i="6" s="1"/>
  <c r="AU19" i="6"/>
  <c r="AS19" i="6"/>
  <c r="AE20" i="6"/>
  <c r="AV20" i="6"/>
  <c r="AE41" i="6"/>
  <c r="AU44" i="6"/>
  <c r="AS44" i="6"/>
  <c r="AE48" i="6"/>
  <c r="AV48" i="6"/>
  <c r="F50" i="6"/>
  <c r="AU51" i="6"/>
  <c r="AS51" i="6"/>
  <c r="AE57" i="6"/>
  <c r="AV57" i="6"/>
  <c r="AE66" i="6"/>
  <c r="AV66" i="6"/>
  <c r="AU68" i="6"/>
  <c r="AS68" i="6"/>
  <c r="AE72" i="6"/>
  <c r="AV72" i="6"/>
  <c r="AU74" i="6"/>
  <c r="AS74" i="6"/>
  <c r="AU111" i="6"/>
  <c r="AS111" i="6"/>
  <c r="AE115" i="6"/>
  <c r="AV115" i="6"/>
  <c r="AE116" i="6"/>
  <c r="AV116" i="6"/>
  <c r="AE117" i="6"/>
  <c r="AV117" i="6"/>
  <c r="AU119" i="6"/>
  <c r="AS119" i="6"/>
  <c r="I131" i="6"/>
  <c r="H131" i="6" s="1"/>
  <c r="G131" i="6" s="1"/>
  <c r="AS131" i="6"/>
  <c r="I135" i="6"/>
  <c r="H135" i="6" s="1"/>
  <c r="G135" i="6" s="1"/>
  <c r="AS135" i="6"/>
  <c r="I139" i="6"/>
  <c r="H139" i="6" s="1"/>
  <c r="G139" i="6" s="1"/>
  <c r="AS139" i="6"/>
  <c r="I145" i="6"/>
  <c r="H145" i="6" s="1"/>
  <c r="G145" i="6" s="1"/>
  <c r="AS145" i="6"/>
  <c r="I147" i="6"/>
  <c r="AU147" i="6"/>
  <c r="AS147" i="6"/>
  <c r="AE153" i="6"/>
  <c r="AV153" i="6"/>
  <c r="AE156" i="6"/>
  <c r="AU158" i="6"/>
  <c r="AS158" i="6"/>
  <c r="AU161" i="6"/>
  <c r="AS161" i="6"/>
  <c r="AE163" i="6"/>
  <c r="AV163" i="6"/>
  <c r="F165" i="6"/>
  <c r="AS166" i="6"/>
  <c r="AU171" i="6"/>
  <c r="AS171" i="6"/>
  <c r="AU176" i="6"/>
  <c r="AD175" i="6"/>
  <c r="AE178" i="6"/>
  <c r="AV178" i="6"/>
  <c r="F182" i="6"/>
  <c r="AS184" i="6"/>
  <c r="F186" i="6"/>
  <c r="AS186" i="6" s="1"/>
  <c r="AS187" i="6"/>
  <c r="AE197" i="6"/>
  <c r="AV197" i="6"/>
  <c r="AD215" i="6"/>
  <c r="AU216" i="6"/>
  <c r="AU219" i="6"/>
  <c r="AS219" i="6"/>
  <c r="AE221" i="6"/>
  <c r="AV221" i="6"/>
  <c r="AU223" i="6"/>
  <c r="AS223" i="6"/>
  <c r="AE225" i="6"/>
  <c r="AV225" i="6"/>
  <c r="AU229" i="6"/>
  <c r="AS229" i="6"/>
  <c r="AU241" i="6"/>
  <c r="AS241" i="6"/>
  <c r="AE243" i="6"/>
  <c r="AV243" i="6"/>
  <c r="AU246" i="6"/>
  <c r="AS246" i="6"/>
  <c r="AE248" i="6"/>
  <c r="AV248" i="6"/>
  <c r="AU250" i="6"/>
  <c r="AS250" i="6"/>
  <c r="AE252" i="6"/>
  <c r="AV252" i="6"/>
  <c r="AU255" i="6"/>
  <c r="AS255" i="6"/>
  <c r="AE273" i="6"/>
  <c r="I9" i="6"/>
  <c r="H9" i="6" s="1"/>
  <c r="G9" i="6" s="1"/>
  <c r="AU9" i="6"/>
  <c r="AS9" i="6"/>
  <c r="I11" i="6"/>
  <c r="H11" i="6" s="1"/>
  <c r="G11" i="6" s="1"/>
  <c r="AU11" i="6"/>
  <c r="AS11" i="6"/>
  <c r="I13" i="6"/>
  <c r="H13" i="6" s="1"/>
  <c r="G13" i="6" s="1"/>
  <c r="AU13" i="6"/>
  <c r="AS13" i="6"/>
  <c r="AU15" i="6"/>
  <c r="AS15" i="6"/>
  <c r="AE19" i="6"/>
  <c r="I21" i="6"/>
  <c r="H21" i="6" s="1"/>
  <c r="G21" i="6" s="1"/>
  <c r="AS21" i="6"/>
  <c r="AE45" i="6"/>
  <c r="AV45" i="6"/>
  <c r="AE46" i="6"/>
  <c r="AV46" i="6"/>
  <c r="AE47" i="6"/>
  <c r="AV47" i="6"/>
  <c r="G51" i="6"/>
  <c r="G58" i="6"/>
  <c r="AU58" i="6"/>
  <c r="AS58" i="6"/>
  <c r="AE59" i="6"/>
  <c r="AV59" i="6"/>
  <c r="AU67" i="6"/>
  <c r="AS67" i="6"/>
  <c r="G68" i="6"/>
  <c r="AE69" i="6"/>
  <c r="AV69" i="6"/>
  <c r="AU73" i="6"/>
  <c r="AS73" i="6"/>
  <c r="AE75" i="6"/>
  <c r="AV75" i="6"/>
  <c r="G78" i="6"/>
  <c r="AU81" i="6"/>
  <c r="AD80" i="6"/>
  <c r="AE89" i="6"/>
  <c r="AV89" i="6"/>
  <c r="AV92" i="6"/>
  <c r="AV93" i="6"/>
  <c r="AU95" i="6"/>
  <c r="AS95" i="6"/>
  <c r="AE103" i="6"/>
  <c r="AV103" i="6"/>
  <c r="AU107" i="6"/>
  <c r="AS107" i="6"/>
  <c r="AD118" i="6"/>
  <c r="AU120" i="6"/>
  <c r="AU131" i="6"/>
  <c r="I134" i="6"/>
  <c r="H134" i="6" s="1"/>
  <c r="G134" i="6" s="1"/>
  <c r="AS134" i="6"/>
  <c r="AU135" i="6"/>
  <c r="I138" i="6"/>
  <c r="H138" i="6" s="1"/>
  <c r="G138" i="6" s="1"/>
  <c r="AS138" i="6"/>
  <c r="AU139" i="6"/>
  <c r="AE142" i="6"/>
  <c r="I144" i="6"/>
  <c r="H144" i="6" s="1"/>
  <c r="G144" i="6" s="1"/>
  <c r="AS144" i="6"/>
  <c r="AU145" i="6"/>
  <c r="AE147" i="6"/>
  <c r="I149" i="6"/>
  <c r="H149" i="6" s="1"/>
  <c r="G149" i="6" s="1"/>
  <c r="AU149" i="6"/>
  <c r="AS149" i="6"/>
  <c r="AE150" i="6"/>
  <c r="AI151" i="6"/>
  <c r="F155" i="6"/>
  <c r="AU155" i="6" s="1"/>
  <c r="AU156" i="6"/>
  <c r="AS156" i="6"/>
  <c r="AU157" i="6"/>
  <c r="AS157" i="6"/>
  <c r="G158" i="6"/>
  <c r="AE159" i="6"/>
  <c r="AV159" i="6"/>
  <c r="G161" i="6"/>
  <c r="AE162" i="6"/>
  <c r="AV162" i="6"/>
  <c r="G166" i="6"/>
  <c r="G167" i="6"/>
  <c r="F175" i="6"/>
  <c r="AS175" i="6" s="1"/>
  <c r="AU179" i="6"/>
  <c r="AS179" i="6"/>
  <c r="AU183" i="6"/>
  <c r="AS183" i="6"/>
  <c r="AE194" i="6"/>
  <c r="AV194" i="6"/>
  <c r="AE195" i="6"/>
  <c r="AV195" i="6"/>
  <c r="AE220" i="6"/>
  <c r="AV220" i="6"/>
  <c r="AU222" i="6"/>
  <c r="AS222" i="6"/>
  <c r="AE224" i="6"/>
  <c r="AV224" i="6"/>
  <c r="AU226" i="6"/>
  <c r="AS226" i="6"/>
  <c r="AE230" i="6"/>
  <c r="AV230" i="6"/>
  <c r="AU234" i="6"/>
  <c r="AS234" i="6"/>
  <c r="AE267" i="6"/>
  <c r="AE270" i="6"/>
  <c r="AD269" i="6"/>
  <c r="AU272" i="6"/>
  <c r="AD6" i="6"/>
  <c r="AU7" i="6"/>
  <c r="AE9" i="6"/>
  <c r="AE11" i="6"/>
  <c r="AE13" i="6"/>
  <c r="I18" i="6"/>
  <c r="H18" i="6" s="1"/>
  <c r="G18" i="6" s="1"/>
  <c r="AU18" i="6"/>
  <c r="AS18" i="6"/>
  <c r="AU20" i="6"/>
  <c r="AS20" i="6"/>
  <c r="AU21" i="6"/>
  <c r="AE22" i="6"/>
  <c r="AR23" i="6"/>
  <c r="L23" i="6"/>
  <c r="P23" i="6"/>
  <c r="AI23" i="6"/>
  <c r="AM23" i="6"/>
  <c r="AI37" i="6"/>
  <c r="AM37" i="6"/>
  <c r="AE39" i="6"/>
  <c r="AV39" i="6"/>
  <c r="AE40" i="6"/>
  <c r="AV40" i="6"/>
  <c r="AF43" i="6"/>
  <c r="AE44" i="6"/>
  <c r="AV44" i="6"/>
  <c r="AU48" i="6"/>
  <c r="AS48" i="6"/>
  <c r="AE51" i="6"/>
  <c r="AV51" i="6"/>
  <c r="AU57" i="6"/>
  <c r="AS57" i="6"/>
  <c r="AE58" i="6"/>
  <c r="AV58" i="6"/>
  <c r="I62" i="6"/>
  <c r="AS62" i="6"/>
  <c r="I63" i="6"/>
  <c r="H63" i="6" s="1"/>
  <c r="G63" i="6" s="1"/>
  <c r="AS63" i="6"/>
  <c r="F65" i="6"/>
  <c r="AU65" i="6" s="1"/>
  <c r="AU66" i="6"/>
  <c r="AS66" i="6"/>
  <c r="AE68" i="6"/>
  <c r="AV68" i="6"/>
  <c r="AU72" i="6"/>
  <c r="AS72" i="6"/>
  <c r="AE74" i="6"/>
  <c r="AV74" i="6"/>
  <c r="AD77" i="6"/>
  <c r="AU78" i="6"/>
  <c r="AE81" i="6"/>
  <c r="AV81" i="6"/>
  <c r="AE82" i="6"/>
  <c r="AV82" i="6"/>
  <c r="AE83" i="6"/>
  <c r="K86" i="6"/>
  <c r="AH86" i="6"/>
  <c r="AL86" i="6"/>
  <c r="AV88" i="6"/>
  <c r="AU97" i="6"/>
  <c r="AU98" i="6"/>
  <c r="AU99" i="6"/>
  <c r="AU100" i="6"/>
  <c r="AE111" i="6"/>
  <c r="AV111" i="6"/>
  <c r="AV112" i="6"/>
  <c r="AU115" i="6"/>
  <c r="AS115" i="6"/>
  <c r="AE119" i="6"/>
  <c r="AV119" i="6"/>
  <c r="AV120" i="6"/>
  <c r="I133" i="6"/>
  <c r="H133" i="6" s="1"/>
  <c r="G133" i="6" s="1"/>
  <c r="AS133" i="6"/>
  <c r="AU134" i="6"/>
  <c r="AV135" i="6"/>
  <c r="I137" i="6"/>
  <c r="H137" i="6" s="1"/>
  <c r="G137" i="6" s="1"/>
  <c r="AS137" i="6"/>
  <c r="AU138" i="6"/>
  <c r="I143" i="6"/>
  <c r="H143" i="6" s="1"/>
  <c r="G143" i="6" s="1"/>
  <c r="AS143" i="6"/>
  <c r="AU144" i="6"/>
  <c r="I148" i="6"/>
  <c r="H148" i="6" s="1"/>
  <c r="G148" i="6" s="1"/>
  <c r="AS148" i="6"/>
  <c r="AE149" i="6"/>
  <c r="N151" i="6"/>
  <c r="AJ151" i="6"/>
  <c r="AN151" i="6"/>
  <c r="F152" i="6"/>
  <c r="AU152" i="6" s="1"/>
  <c r="AU153" i="6"/>
  <c r="AS153" i="6"/>
  <c r="AE158" i="6"/>
  <c r="AV158" i="6"/>
  <c r="AE161" i="6"/>
  <c r="AV161" i="6"/>
  <c r="AU163" i="6"/>
  <c r="AS163" i="6"/>
  <c r="AU166" i="6"/>
  <c r="N168" i="6"/>
  <c r="AK168" i="6"/>
  <c r="AD169" i="6"/>
  <c r="AU170" i="6"/>
  <c r="AE171" i="6"/>
  <c r="AV171" i="6"/>
  <c r="AE172" i="6"/>
  <c r="AV172" i="6"/>
  <c r="AE173" i="6"/>
  <c r="AV173" i="6"/>
  <c r="AE174" i="6"/>
  <c r="AV174" i="6"/>
  <c r="AU178" i="6"/>
  <c r="AS178" i="6"/>
  <c r="AD182" i="6"/>
  <c r="AU184" i="6"/>
  <c r="AU185" i="6"/>
  <c r="AU187" i="6"/>
  <c r="J189" i="6"/>
  <c r="H189" i="6" s="1"/>
  <c r="AD189" i="6"/>
  <c r="AU190" i="6"/>
  <c r="F193" i="6"/>
  <c r="AS193" i="6" s="1"/>
  <c r="AS194" i="6"/>
  <c r="AU197" i="6"/>
  <c r="AS197" i="6"/>
  <c r="G198" i="6"/>
  <c r="AV201" i="6"/>
  <c r="AV202" i="6"/>
  <c r="F215" i="6"/>
  <c r="AS215" i="6" s="1"/>
  <c r="AS216" i="6"/>
  <c r="AE219" i="6"/>
  <c r="AV219" i="6"/>
  <c r="AU221" i="6"/>
  <c r="AS221" i="6"/>
  <c r="AE223" i="6"/>
  <c r="AV223" i="6"/>
  <c r="AU225" i="6"/>
  <c r="AS225" i="6"/>
  <c r="AU227" i="6"/>
  <c r="AU228" i="6"/>
  <c r="AE229" i="6"/>
  <c r="AV229" i="6"/>
  <c r="G232" i="6"/>
  <c r="G233" i="6"/>
  <c r="AE235" i="6"/>
  <c r="AV235" i="6"/>
  <c r="F236" i="6"/>
  <c r="AS237" i="6"/>
  <c r="AG266" i="6"/>
  <c r="I271" i="6"/>
  <c r="H271" i="6" s="1"/>
  <c r="G271" i="6" s="1"/>
  <c r="AU271" i="6"/>
  <c r="AS271" i="6"/>
  <c r="S563" i="6"/>
  <c r="AV233" i="6"/>
  <c r="AU235" i="6"/>
  <c r="AS235" i="6"/>
  <c r="AD236" i="6"/>
  <c r="AU237" i="6"/>
  <c r="AD239" i="6"/>
  <c r="AU240" i="6"/>
  <c r="AE241" i="6"/>
  <c r="AV241" i="6"/>
  <c r="AU243" i="6"/>
  <c r="AS243" i="6"/>
  <c r="AE246" i="6"/>
  <c r="AV246" i="6"/>
  <c r="AU248" i="6"/>
  <c r="AS248" i="6"/>
  <c r="AE250" i="6"/>
  <c r="AV250" i="6"/>
  <c r="AU252" i="6"/>
  <c r="AS252" i="6"/>
  <c r="AE255" i="6"/>
  <c r="AV255" i="6"/>
  <c r="AE260" i="6"/>
  <c r="AV260" i="6"/>
  <c r="AU264" i="6"/>
  <c r="AS264" i="6"/>
  <c r="I270" i="6"/>
  <c r="AU270" i="6"/>
  <c r="AS270" i="6"/>
  <c r="AI275" i="6"/>
  <c r="AM275" i="6"/>
  <c r="AU280" i="6"/>
  <c r="AS280" i="6"/>
  <c r="AF281" i="6"/>
  <c r="AE282" i="6"/>
  <c r="AV282" i="6"/>
  <c r="AV284" i="6"/>
  <c r="F285" i="6"/>
  <c r="AU286" i="6"/>
  <c r="AS286" i="6"/>
  <c r="AF288" i="6"/>
  <c r="AE288" i="6" s="1"/>
  <c r="AE290" i="6"/>
  <c r="AV290" i="6"/>
  <c r="AU292" i="6"/>
  <c r="AS292" i="6"/>
  <c r="AE295" i="6"/>
  <c r="AV295" i="6"/>
  <c r="AU297" i="6"/>
  <c r="AS297" i="6"/>
  <c r="AU299" i="6"/>
  <c r="AD302" i="6"/>
  <c r="AD305" i="6"/>
  <c r="AU306" i="6"/>
  <c r="AD308" i="6"/>
  <c r="AU309" i="6"/>
  <c r="AU310" i="6"/>
  <c r="AE313" i="6"/>
  <c r="AV313" i="6"/>
  <c r="AE315" i="6"/>
  <c r="AV315" i="6"/>
  <c r="AU332" i="6"/>
  <c r="AS332" i="6"/>
  <c r="F335" i="6"/>
  <c r="AS335" i="6" s="1"/>
  <c r="AU336" i="6"/>
  <c r="AS336" i="6"/>
  <c r="AD335" i="6"/>
  <c r="AU338" i="6"/>
  <c r="AU339" i="6"/>
  <c r="AU341" i="6"/>
  <c r="AE342" i="6"/>
  <c r="AV342" i="6"/>
  <c r="AU343" i="6"/>
  <c r="AU344" i="6"/>
  <c r="AU345" i="6"/>
  <c r="AU346" i="6"/>
  <c r="AU353" i="6"/>
  <c r="AU354" i="6"/>
  <c r="AE355" i="6"/>
  <c r="AV355" i="6"/>
  <c r="AV356" i="6"/>
  <c r="AE357" i="6"/>
  <c r="AV357" i="6"/>
  <c r="AE358" i="6"/>
  <c r="AV358" i="6"/>
  <c r="AE359" i="6"/>
  <c r="AV359" i="6"/>
  <c r="F360" i="6"/>
  <c r="AS360" i="6" s="1"/>
  <c r="AS361" i="6"/>
  <c r="AD360" i="6"/>
  <c r="AU361" i="6"/>
  <c r="N362" i="6"/>
  <c r="AU364" i="6"/>
  <c r="AU365" i="6"/>
  <c r="AU366" i="6"/>
  <c r="AK383" i="6"/>
  <c r="AO383" i="6"/>
  <c r="AU385" i="6"/>
  <c r="AU386" i="6"/>
  <c r="AU387" i="6"/>
  <c r="F389" i="6"/>
  <c r="AS389" i="6" s="1"/>
  <c r="AS390" i="6"/>
  <c r="AU391" i="6"/>
  <c r="AS391" i="6"/>
  <c r="AV395" i="6"/>
  <c r="AU397" i="6"/>
  <c r="AS397" i="6"/>
  <c r="AD405" i="6"/>
  <c r="AU406" i="6"/>
  <c r="AV409" i="6"/>
  <c r="AE410" i="6"/>
  <c r="AV410" i="6"/>
  <c r="AU412" i="6"/>
  <c r="AS412" i="6"/>
  <c r="AU414" i="6"/>
  <c r="AU415" i="6"/>
  <c r="AU416" i="6"/>
  <c r="AU417" i="6"/>
  <c r="AU418" i="6"/>
  <c r="AU419" i="6"/>
  <c r="AE420" i="6"/>
  <c r="AV420" i="6"/>
  <c r="AD421" i="6"/>
  <c r="AU423" i="6"/>
  <c r="AU424" i="6"/>
  <c r="AU428" i="6"/>
  <c r="AU429" i="6"/>
  <c r="AU430" i="6"/>
  <c r="AU431" i="6"/>
  <c r="AE432" i="6"/>
  <c r="AV432" i="6"/>
  <c r="AU434" i="6"/>
  <c r="AS434" i="6"/>
  <c r="AD441" i="6"/>
  <c r="AU442" i="6"/>
  <c r="AE443" i="6"/>
  <c r="AV443" i="6"/>
  <c r="AU447" i="6"/>
  <c r="AE448" i="6"/>
  <c r="AV448" i="6"/>
  <c r="AE452" i="6"/>
  <c r="AV452" i="6"/>
  <c r="AU453" i="6"/>
  <c r="AD451" i="6"/>
  <c r="AD458" i="6"/>
  <c r="AU460" i="6"/>
  <c r="AL466" i="6"/>
  <c r="F476" i="6"/>
  <c r="AS476" i="6" s="1"/>
  <c r="AU477" i="6"/>
  <c r="AS477" i="6"/>
  <c r="AE477" i="6"/>
  <c r="AE484" i="6"/>
  <c r="AV484" i="6"/>
  <c r="AU486" i="6"/>
  <c r="AS486" i="6"/>
  <c r="AV496" i="6"/>
  <c r="AU499" i="6"/>
  <c r="AS499" i="6"/>
  <c r="AF504" i="6"/>
  <c r="AD504" i="6"/>
  <c r="AU505" i="6"/>
  <c r="AD507" i="6"/>
  <c r="AU507" i="6" s="1"/>
  <c r="AU508" i="6"/>
  <c r="AU509" i="6"/>
  <c r="AU510" i="6"/>
  <c r="AU511" i="6"/>
  <c r="AD512" i="6"/>
  <c r="AU512" i="6" s="1"/>
  <c r="AU513" i="6"/>
  <c r="AE517" i="6"/>
  <c r="AV517" i="6"/>
  <c r="AV518" i="6"/>
  <c r="AE521" i="6"/>
  <c r="AE522" i="6"/>
  <c r="AV522" i="6"/>
  <c r="I528" i="6"/>
  <c r="H528" i="6" s="1"/>
  <c r="G528" i="6" s="1"/>
  <c r="AS528" i="6"/>
  <c r="G529" i="6"/>
  <c r="G531" i="6"/>
  <c r="AU534" i="6"/>
  <c r="AE535" i="6"/>
  <c r="AV535" i="6"/>
  <c r="J541" i="6"/>
  <c r="H541" i="6" s="1"/>
  <c r="G541" i="6" s="1"/>
  <c r="AS541" i="6"/>
  <c r="J546" i="6"/>
  <c r="H546" i="6" s="1"/>
  <c r="G546" i="6" s="1"/>
  <c r="AS546" i="6"/>
  <c r="J548" i="6"/>
  <c r="H548" i="6" s="1"/>
  <c r="G548" i="6" s="1"/>
  <c r="AS548" i="6"/>
  <c r="AE557" i="6"/>
  <c r="J559" i="6"/>
  <c r="H559" i="6" s="1"/>
  <c r="G559" i="6" s="1"/>
  <c r="AU559" i="6"/>
  <c r="AS559" i="6"/>
  <c r="AE561" i="6"/>
  <c r="AV561" i="6"/>
  <c r="J563" i="6"/>
  <c r="H563" i="6" s="1"/>
  <c r="G563" i="6" s="1"/>
  <c r="AU563" i="6"/>
  <c r="AS563" i="6"/>
  <c r="J565" i="6"/>
  <c r="H565" i="6" s="1"/>
  <c r="G565" i="6" s="1"/>
  <c r="AU565" i="6"/>
  <c r="AS565" i="6"/>
  <c r="J567" i="6"/>
  <c r="H567" i="6" s="1"/>
  <c r="G567" i="6" s="1"/>
  <c r="AU567" i="6"/>
  <c r="AS567" i="6"/>
  <c r="J570" i="6"/>
  <c r="H570" i="6" s="1"/>
  <c r="G570" i="6" s="1"/>
  <c r="AS570" i="6"/>
  <c r="AU571" i="6"/>
  <c r="J574" i="6"/>
  <c r="H574" i="6" s="1"/>
  <c r="G574" i="6" s="1"/>
  <c r="AS574" i="6"/>
  <c r="AU575" i="6"/>
  <c r="J578" i="6"/>
  <c r="H578" i="6" s="1"/>
  <c r="G578" i="6" s="1"/>
  <c r="AS578" i="6"/>
  <c r="AU579" i="6"/>
  <c r="J581" i="6"/>
  <c r="H581" i="6" s="1"/>
  <c r="G581" i="6" s="1"/>
  <c r="AS581" i="6"/>
  <c r="AU582" i="6"/>
  <c r="J585" i="6"/>
  <c r="H585" i="6" s="1"/>
  <c r="G585" i="6" s="1"/>
  <c r="AS585" i="6"/>
  <c r="AU586" i="6"/>
  <c r="AV588" i="6"/>
  <c r="F590" i="6"/>
  <c r="AS591" i="6"/>
  <c r="S12" i="6"/>
  <c r="S21" i="6"/>
  <c r="AT40" i="6"/>
  <c r="S44" i="6"/>
  <c r="AT44" i="6"/>
  <c r="S47" i="6"/>
  <c r="AT47" i="6"/>
  <c r="AT73" i="6"/>
  <c r="S82" i="6"/>
  <c r="AT82" i="6"/>
  <c r="S88" i="6"/>
  <c r="AT88" i="6"/>
  <c r="S91" i="6"/>
  <c r="AT91" i="6"/>
  <c r="AT98" i="6"/>
  <c r="AT105" i="6"/>
  <c r="AT111" i="6"/>
  <c r="T118" i="6"/>
  <c r="S134" i="6"/>
  <c r="S138" i="6"/>
  <c r="S143" i="6"/>
  <c r="S157" i="6"/>
  <c r="AT157" i="6"/>
  <c r="S162" i="6"/>
  <c r="AT162" i="6"/>
  <c r="T165" i="6"/>
  <c r="S166" i="6"/>
  <c r="AT166" i="6"/>
  <c r="AT171" i="6"/>
  <c r="AT176" i="6"/>
  <c r="S185" i="6"/>
  <c r="AT185" i="6"/>
  <c r="AT194" i="6"/>
  <c r="S197" i="6"/>
  <c r="AT197" i="6"/>
  <c r="S201" i="6"/>
  <c r="AT201" i="6"/>
  <c r="S220" i="6"/>
  <c r="AT220" i="6"/>
  <c r="S224" i="6"/>
  <c r="AT224" i="6"/>
  <c r="S228" i="6"/>
  <c r="AT228" i="6"/>
  <c r="AT232" i="6"/>
  <c r="S240" i="6"/>
  <c r="AT240" i="6"/>
  <c r="T245" i="6"/>
  <c r="S247" i="6"/>
  <c r="AT247" i="6"/>
  <c r="S251" i="6"/>
  <c r="AT251" i="6"/>
  <c r="AT255" i="6"/>
  <c r="T270" i="6"/>
  <c r="U269" i="6"/>
  <c r="T269" i="6" s="1"/>
  <c r="AT277" i="6"/>
  <c r="AT284" i="6"/>
  <c r="AT290" i="6"/>
  <c r="AT296" i="6"/>
  <c r="AT303" i="6"/>
  <c r="AT309" i="6"/>
  <c r="T312" i="6"/>
  <c r="S312" i="6" s="1"/>
  <c r="S320" i="6"/>
  <c r="AT320" i="6"/>
  <c r="S324" i="6"/>
  <c r="AT324" i="6"/>
  <c r="S328" i="6"/>
  <c r="AT328" i="6"/>
  <c r="AT332" i="6"/>
  <c r="S343" i="6"/>
  <c r="AT343" i="6"/>
  <c r="S349" i="6"/>
  <c r="AT349" i="6"/>
  <c r="S353" i="6"/>
  <c r="AT353" i="6"/>
  <c r="S356" i="6"/>
  <c r="AT356" i="6"/>
  <c r="S369" i="6"/>
  <c r="S377" i="6"/>
  <c r="AT385" i="6"/>
  <c r="AT392" i="6"/>
  <c r="S399" i="6"/>
  <c r="AT399" i="6"/>
  <c r="S410" i="6"/>
  <c r="AT410" i="6"/>
  <c r="S417" i="6"/>
  <c r="AT417" i="6"/>
  <c r="S423" i="6"/>
  <c r="AT423" i="6"/>
  <c r="S429" i="6"/>
  <c r="AT429" i="6"/>
  <c r="S442" i="6"/>
  <c r="AT442" i="6"/>
  <c r="S449" i="6"/>
  <c r="AT459" i="6"/>
  <c r="S468" i="6"/>
  <c r="AT468" i="6"/>
  <c r="S496" i="6"/>
  <c r="AT496" i="6"/>
  <c r="S499" i="6"/>
  <c r="AT499" i="6"/>
  <c r="AT502" i="6"/>
  <c r="W494" i="6"/>
  <c r="AA494" i="6"/>
  <c r="S508" i="6"/>
  <c r="AT508" i="6"/>
  <c r="AC514" i="6"/>
  <c r="S525" i="6"/>
  <c r="AT536" i="6"/>
  <c r="S544" i="6"/>
  <c r="S548" i="6"/>
  <c r="S558" i="6"/>
  <c r="S562" i="6"/>
  <c r="S565" i="6"/>
  <c r="S569" i="6"/>
  <c r="S573" i="6"/>
  <c r="S577" i="6"/>
  <c r="S581" i="6"/>
  <c r="S585" i="6"/>
  <c r="AE289" i="6"/>
  <c r="AV289" i="6"/>
  <c r="AU291" i="6"/>
  <c r="AS291" i="6"/>
  <c r="AE294" i="6"/>
  <c r="AV294" i="6"/>
  <c r="AU296" i="6"/>
  <c r="AS296" i="6"/>
  <c r="AU317" i="6"/>
  <c r="AS317" i="6"/>
  <c r="AU318" i="6"/>
  <c r="AS318" i="6"/>
  <c r="AU319" i="6"/>
  <c r="AS319" i="6"/>
  <c r="AU320" i="6"/>
  <c r="AS320" i="6"/>
  <c r="AU321" i="6"/>
  <c r="AS321" i="6"/>
  <c r="AU322" i="6"/>
  <c r="AS322" i="6"/>
  <c r="AU323" i="6"/>
  <c r="AS323" i="6"/>
  <c r="AU324" i="6"/>
  <c r="AS324" i="6"/>
  <c r="AU325" i="6"/>
  <c r="AS325" i="6"/>
  <c r="AU326" i="6"/>
  <c r="AS326" i="6"/>
  <c r="AU327" i="6"/>
  <c r="AS327" i="6"/>
  <c r="AU328" i="6"/>
  <c r="AS328" i="6"/>
  <c r="AE337" i="6"/>
  <c r="AV337" i="6"/>
  <c r="AE343" i="6"/>
  <c r="AV343" i="6"/>
  <c r="AE353" i="6"/>
  <c r="AV353" i="6"/>
  <c r="AE354" i="6"/>
  <c r="AV354" i="6"/>
  <c r="AE364" i="6"/>
  <c r="AV364" i="6"/>
  <c r="AE365" i="6"/>
  <c r="AV365" i="6"/>
  <c r="AE373" i="6"/>
  <c r="F375" i="6"/>
  <c r="AU375" i="6" s="1"/>
  <c r="AU376" i="6"/>
  <c r="AS376" i="6"/>
  <c r="AU382" i="6"/>
  <c r="AE386" i="6"/>
  <c r="AV386" i="6"/>
  <c r="AU396" i="6"/>
  <c r="AS396" i="6"/>
  <c r="AU400" i="6"/>
  <c r="AD398" i="6"/>
  <c r="AE402" i="6"/>
  <c r="AV402" i="6"/>
  <c r="AE406" i="6"/>
  <c r="AV406" i="6"/>
  <c r="AU411" i="6"/>
  <c r="AS411" i="6"/>
  <c r="AE422" i="6"/>
  <c r="AE423" i="6"/>
  <c r="AV423" i="6"/>
  <c r="AE427" i="6"/>
  <c r="AV427" i="6"/>
  <c r="AD433" i="6"/>
  <c r="AU435" i="6"/>
  <c r="F438" i="6"/>
  <c r="AS438" i="6" s="1"/>
  <c r="AS439" i="6"/>
  <c r="AU444" i="6"/>
  <c r="AS444" i="6"/>
  <c r="F451" i="6"/>
  <c r="AS451" i="6" s="1"/>
  <c r="AU452" i="6"/>
  <c r="AS452" i="6"/>
  <c r="AV453" i="6"/>
  <c r="AE459" i="6"/>
  <c r="AV459" i="6"/>
  <c r="AD464" i="6"/>
  <c r="AU465" i="6"/>
  <c r="J473" i="6"/>
  <c r="H473" i="6" s="1"/>
  <c r="G473" i="6" s="1"/>
  <c r="AU473" i="6"/>
  <c r="AS473" i="6"/>
  <c r="AE483" i="6"/>
  <c r="AS485" i="6"/>
  <c r="AU485" i="6"/>
  <c r="AE489" i="6"/>
  <c r="AV489" i="6"/>
  <c r="AU497" i="6"/>
  <c r="AS497" i="6"/>
  <c r="AE505" i="6"/>
  <c r="AV505" i="6"/>
  <c r="AE516" i="6"/>
  <c r="AV516" i="6"/>
  <c r="AD527" i="6"/>
  <c r="AU528" i="6"/>
  <c r="AU531" i="6"/>
  <c r="AE534" i="6"/>
  <c r="AV534" i="6"/>
  <c r="AS536" i="6"/>
  <c r="AU536" i="6"/>
  <c r="J544" i="6"/>
  <c r="H544" i="6" s="1"/>
  <c r="G544" i="6" s="1"/>
  <c r="AS544" i="6"/>
  <c r="J558" i="6"/>
  <c r="H558" i="6" s="1"/>
  <c r="G558" i="6" s="1"/>
  <c r="AS558" i="6"/>
  <c r="AE559" i="6"/>
  <c r="J562" i="6"/>
  <c r="H562" i="6" s="1"/>
  <c r="G562" i="6" s="1"/>
  <c r="AS562" i="6"/>
  <c r="AE563" i="6"/>
  <c r="AE565" i="6"/>
  <c r="AE567" i="6"/>
  <c r="J569" i="6"/>
  <c r="H569" i="6" s="1"/>
  <c r="G569" i="6" s="1"/>
  <c r="AS569" i="6"/>
  <c r="J573" i="6"/>
  <c r="H573" i="6" s="1"/>
  <c r="G573" i="6" s="1"/>
  <c r="AS573" i="6"/>
  <c r="AE575" i="6"/>
  <c r="J577" i="6"/>
  <c r="H577" i="6" s="1"/>
  <c r="G577" i="6" s="1"/>
  <c r="AS577" i="6"/>
  <c r="AE579" i="6"/>
  <c r="AE582" i="6"/>
  <c r="J584" i="6"/>
  <c r="H584" i="6" s="1"/>
  <c r="G584" i="6" s="1"/>
  <c r="AS584" i="6"/>
  <c r="AE586" i="6"/>
  <c r="R5" i="6"/>
  <c r="S14" i="6"/>
  <c r="AT14" i="6"/>
  <c r="S48" i="6"/>
  <c r="AT48" i="6"/>
  <c r="AT51" i="6"/>
  <c r="AT57" i="6"/>
  <c r="S67" i="6"/>
  <c r="AT67" i="6"/>
  <c r="AT92" i="6"/>
  <c r="AT95" i="6"/>
  <c r="AT99" i="6"/>
  <c r="S112" i="6"/>
  <c r="AT112" i="6"/>
  <c r="AT115" i="6"/>
  <c r="S119" i="6"/>
  <c r="AT119" i="6"/>
  <c r="S125" i="6"/>
  <c r="AT125" i="6"/>
  <c r="S135" i="6"/>
  <c r="AT135" i="6"/>
  <c r="S139" i="6"/>
  <c r="S144" i="6"/>
  <c r="S148" i="6"/>
  <c r="S158" i="6"/>
  <c r="AT158" i="6"/>
  <c r="S172" i="6"/>
  <c r="AT172" i="6"/>
  <c r="AT177" i="6"/>
  <c r="S202" i="6"/>
  <c r="AT202" i="6"/>
  <c r="S221" i="6"/>
  <c r="AT221" i="6"/>
  <c r="S225" i="6"/>
  <c r="AT225" i="6"/>
  <c r="S229" i="6"/>
  <c r="AT229" i="6"/>
  <c r="S233" i="6"/>
  <c r="AT233" i="6"/>
  <c r="S237" i="6"/>
  <c r="AT237" i="6"/>
  <c r="S241" i="6"/>
  <c r="AT241" i="6"/>
  <c r="AT248" i="6"/>
  <c r="AT252" i="6"/>
  <c r="S271" i="6"/>
  <c r="S282" i="6"/>
  <c r="AT282" i="6"/>
  <c r="AT291" i="6"/>
  <c r="S294" i="6"/>
  <c r="AT294" i="6"/>
  <c r="S297" i="6"/>
  <c r="AT297" i="6"/>
  <c r="AT310" i="6"/>
  <c r="AT313" i="6"/>
  <c r="AT321" i="6"/>
  <c r="AT325" i="6"/>
  <c r="AT333" i="6"/>
  <c r="AT337" i="6"/>
  <c r="S344" i="6"/>
  <c r="AT344" i="6"/>
  <c r="AT350" i="6"/>
  <c r="S354" i="6"/>
  <c r="AT354" i="6"/>
  <c r="AT357" i="6"/>
  <c r="AT364" i="6"/>
  <c r="AT386" i="6"/>
  <c r="S390" i="6"/>
  <c r="AT390" i="6"/>
  <c r="S395" i="6"/>
  <c r="AT395" i="6"/>
  <c r="AT400" i="6"/>
  <c r="AT411" i="6"/>
  <c r="AT414" i="6"/>
  <c r="S418" i="6"/>
  <c r="AT418" i="6"/>
  <c r="S424" i="6"/>
  <c r="AT424" i="6"/>
  <c r="AT431" i="6"/>
  <c r="AT434" i="6"/>
  <c r="S443" i="6"/>
  <c r="AT443" i="6"/>
  <c r="S447" i="6"/>
  <c r="AT447" i="6"/>
  <c r="S452" i="6"/>
  <c r="AT452" i="6"/>
  <c r="S460" i="6"/>
  <c r="T464" i="6"/>
  <c r="S469" i="6"/>
  <c r="AT469" i="6"/>
  <c r="S474" i="6"/>
  <c r="AT484" i="6"/>
  <c r="S489" i="6"/>
  <c r="AT489" i="6"/>
  <c r="AT509" i="6"/>
  <c r="AS512" i="6"/>
  <c r="S516" i="6"/>
  <c r="AT516" i="6"/>
  <c r="S541" i="6"/>
  <c r="S559" i="6"/>
  <c r="S566" i="6"/>
  <c r="S570" i="6"/>
  <c r="S574" i="6"/>
  <c r="S578" i="6"/>
  <c r="S582" i="6"/>
  <c r="S586" i="6"/>
  <c r="S9" i="6"/>
  <c r="AD276" i="6"/>
  <c r="AU277" i="6"/>
  <c r="AE280" i="6"/>
  <c r="AV280" i="6"/>
  <c r="AU282" i="6"/>
  <c r="AS282" i="6"/>
  <c r="AV286" i="6"/>
  <c r="AR288" i="6"/>
  <c r="AU290" i="6"/>
  <c r="AS290" i="6"/>
  <c r="AE292" i="6"/>
  <c r="AV292" i="6"/>
  <c r="AU295" i="6"/>
  <c r="AS295" i="6"/>
  <c r="AE297" i="6"/>
  <c r="AV297" i="6"/>
  <c r="F298" i="6"/>
  <c r="AS299" i="6"/>
  <c r="AE304" i="6"/>
  <c r="AU313" i="6"/>
  <c r="AS313" i="6"/>
  <c r="AE332" i="6"/>
  <c r="AV332" i="6"/>
  <c r="AE336" i="6"/>
  <c r="AV336" i="6"/>
  <c r="H340" i="6"/>
  <c r="F340" i="6"/>
  <c r="AS340" i="6" s="1"/>
  <c r="AS341" i="6"/>
  <c r="AU342" i="6"/>
  <c r="AS342" i="6"/>
  <c r="AE348" i="6"/>
  <c r="AE349" i="6"/>
  <c r="AV349" i="6"/>
  <c r="AE350" i="6"/>
  <c r="AV350" i="6"/>
  <c r="AE351" i="6"/>
  <c r="AV351" i="6"/>
  <c r="AU355" i="6"/>
  <c r="AS355" i="6"/>
  <c r="F372" i="6"/>
  <c r="AU372" i="6" s="1"/>
  <c r="AU373" i="6"/>
  <c r="AS373" i="6"/>
  <c r="F381" i="6"/>
  <c r="AS381" i="6" s="1"/>
  <c r="AS382" i="6"/>
  <c r="F384" i="6"/>
  <c r="AU384" i="6" s="1"/>
  <c r="AS385" i="6"/>
  <c r="AD389" i="6"/>
  <c r="AU389" i="6" s="1"/>
  <c r="AU390" i="6"/>
  <c r="AE391" i="6"/>
  <c r="AV391" i="6"/>
  <c r="AE393" i="6"/>
  <c r="AE397" i="6"/>
  <c r="AV397" i="6"/>
  <c r="AE399" i="6"/>
  <c r="AV399" i="6"/>
  <c r="AE401" i="6"/>
  <c r="AV401" i="6"/>
  <c r="H405" i="6"/>
  <c r="AE412" i="6"/>
  <c r="AV412" i="6"/>
  <c r="AU420" i="6"/>
  <c r="AS420" i="6"/>
  <c r="F421" i="6"/>
  <c r="AU422" i="6"/>
  <c r="AS422" i="6"/>
  <c r="AU432" i="6"/>
  <c r="AS432" i="6"/>
  <c r="AE434" i="6"/>
  <c r="AV434" i="6"/>
  <c r="AU443" i="6"/>
  <c r="AS443" i="6"/>
  <c r="AU448" i="6"/>
  <c r="AS448" i="6"/>
  <c r="AH472" i="6"/>
  <c r="AF472" i="6" s="1"/>
  <c r="J475" i="6"/>
  <c r="H475" i="6" s="1"/>
  <c r="G475" i="6" s="1"/>
  <c r="AU475" i="6"/>
  <c r="AS475" i="6"/>
  <c r="G478" i="6"/>
  <c r="AE480" i="6"/>
  <c r="AE481" i="6"/>
  <c r="AU483" i="6"/>
  <c r="AS483" i="6"/>
  <c r="AU484" i="6"/>
  <c r="AS484" i="6"/>
  <c r="G485" i="6"/>
  <c r="AE486" i="6"/>
  <c r="AV486" i="6"/>
  <c r="F492" i="6"/>
  <c r="AS492" i="6" s="1"/>
  <c r="AS493" i="6"/>
  <c r="G497" i="6"/>
  <c r="AE499" i="6"/>
  <c r="AV499" i="6"/>
  <c r="AE501" i="6"/>
  <c r="AV501" i="6"/>
  <c r="AU517" i="6"/>
  <c r="AS517" i="6"/>
  <c r="AE525" i="6"/>
  <c r="F530" i="6"/>
  <c r="AS530" i="6" s="1"/>
  <c r="F533" i="6"/>
  <c r="AS534" i="6"/>
  <c r="AU535" i="6"/>
  <c r="AS535" i="6"/>
  <c r="AD538" i="6"/>
  <c r="AU544" i="6"/>
  <c r="AU547" i="6"/>
  <c r="AU548" i="6"/>
  <c r="J551" i="6"/>
  <c r="H551" i="6" s="1"/>
  <c r="G551" i="6" s="1"/>
  <c r="AS551" i="6"/>
  <c r="AU558" i="6"/>
  <c r="AD555" i="6"/>
  <c r="AU561" i="6"/>
  <c r="AS561" i="6"/>
  <c r="AU562" i="6"/>
  <c r="J566" i="6"/>
  <c r="H566" i="6" s="1"/>
  <c r="G566" i="6" s="1"/>
  <c r="AS566" i="6"/>
  <c r="AU566" i="6"/>
  <c r="J568" i="6"/>
  <c r="H568" i="6" s="1"/>
  <c r="G568" i="6" s="1"/>
  <c r="AS568" i="6"/>
  <c r="AU569" i="6"/>
  <c r="J572" i="6"/>
  <c r="H572" i="6" s="1"/>
  <c r="G572" i="6" s="1"/>
  <c r="AS572" i="6"/>
  <c r="AU573" i="6"/>
  <c r="J576" i="6"/>
  <c r="H576" i="6" s="1"/>
  <c r="G576" i="6" s="1"/>
  <c r="AS576" i="6"/>
  <c r="AU577" i="6"/>
  <c r="J580" i="6"/>
  <c r="H580" i="6" s="1"/>
  <c r="G580" i="6" s="1"/>
  <c r="AU580" i="6"/>
  <c r="AS580" i="6"/>
  <c r="J583" i="6"/>
  <c r="H583" i="6" s="1"/>
  <c r="G583" i="6" s="1"/>
  <c r="AS583" i="6"/>
  <c r="AU584" i="6"/>
  <c r="J587" i="6"/>
  <c r="H587" i="6" s="1"/>
  <c r="G587" i="6" s="1"/>
  <c r="AS587" i="6"/>
  <c r="AU591" i="6"/>
  <c r="AU592" i="6"/>
  <c r="F594" i="6"/>
  <c r="AU594" i="6" s="1"/>
  <c r="AS595" i="6"/>
  <c r="S8" i="6"/>
  <c r="AT15" i="6"/>
  <c r="S19" i="6"/>
  <c r="AT45" i="6"/>
  <c r="AT68" i="6"/>
  <c r="AT74" i="6"/>
  <c r="AT89" i="6"/>
  <c r="AT93" i="6"/>
  <c r="S100" i="6"/>
  <c r="AT100" i="6"/>
  <c r="S103" i="6"/>
  <c r="AT103" i="6"/>
  <c r="S107" i="6"/>
  <c r="AT107" i="6"/>
  <c r="AS110" i="6"/>
  <c r="S116" i="6"/>
  <c r="AT116" i="6"/>
  <c r="AT120" i="6"/>
  <c r="S132" i="6"/>
  <c r="S136" i="6"/>
  <c r="S140" i="6"/>
  <c r="S145" i="6"/>
  <c r="S149" i="6"/>
  <c r="S153" i="6"/>
  <c r="AT153" i="6"/>
  <c r="AT159" i="6"/>
  <c r="S173" i="6"/>
  <c r="AT173" i="6"/>
  <c r="S178" i="6"/>
  <c r="AT178" i="6"/>
  <c r="AT183" i="6"/>
  <c r="R210" i="6"/>
  <c r="S222" i="6"/>
  <c r="AT222" i="6"/>
  <c r="S226" i="6"/>
  <c r="AT226" i="6"/>
  <c r="AT230" i="6"/>
  <c r="S234" i="6"/>
  <c r="AT234" i="6"/>
  <c r="S242" i="6"/>
  <c r="AT242" i="6"/>
  <c r="S249" i="6"/>
  <c r="AT249" i="6"/>
  <c r="S253" i="6"/>
  <c r="AT253" i="6"/>
  <c r="S268" i="6"/>
  <c r="AT279" i="6"/>
  <c r="AT286" i="6"/>
  <c r="S289" i="6"/>
  <c r="AT289" i="6"/>
  <c r="S292" i="6"/>
  <c r="AT292" i="6"/>
  <c r="AT318" i="6"/>
  <c r="S322" i="6"/>
  <c r="AT322" i="6"/>
  <c r="S326" i="6"/>
  <c r="AT326" i="6"/>
  <c r="S331" i="6"/>
  <c r="AT331" i="6"/>
  <c r="AT338" i="6"/>
  <c r="S341" i="6"/>
  <c r="AT341" i="6"/>
  <c r="S345" i="6"/>
  <c r="AT345" i="6"/>
  <c r="AT351" i="6"/>
  <c r="S365" i="6"/>
  <c r="AT365" i="6"/>
  <c r="S370" i="6"/>
  <c r="AT387" i="6"/>
  <c r="S391" i="6"/>
  <c r="AT391" i="6"/>
  <c r="AT396" i="6"/>
  <c r="AT401" i="6"/>
  <c r="S406" i="6"/>
  <c r="AT406" i="6"/>
  <c r="AT412" i="6"/>
  <c r="AT415" i="6"/>
  <c r="S419" i="6"/>
  <c r="AT419" i="6"/>
  <c r="AT427" i="6"/>
  <c r="AT432" i="6"/>
  <c r="AT435" i="6"/>
  <c r="AT444" i="6"/>
  <c r="S448" i="6"/>
  <c r="AT448" i="6"/>
  <c r="AT465" i="6"/>
  <c r="AT470" i="6"/>
  <c r="S475" i="6"/>
  <c r="S481" i="6"/>
  <c r="AT485" i="6"/>
  <c r="AT497" i="6"/>
  <c r="S501" i="6"/>
  <c r="AT501" i="6"/>
  <c r="AS507" i="6"/>
  <c r="AT510" i="6"/>
  <c r="AT513" i="6"/>
  <c r="AT517" i="6"/>
  <c r="AT522" i="6"/>
  <c r="AT531" i="6"/>
  <c r="AT534" i="6"/>
  <c r="S546" i="6"/>
  <c r="S567" i="6"/>
  <c r="S571" i="6"/>
  <c r="S575" i="6"/>
  <c r="S579" i="6"/>
  <c r="S583" i="6"/>
  <c r="S587" i="6"/>
  <c r="S592" i="6"/>
  <c r="AT592" i="6"/>
  <c r="S11" i="6"/>
  <c r="S317" i="6"/>
  <c r="AT317" i="6"/>
  <c r="AU232" i="6"/>
  <c r="AU233" i="6"/>
  <c r="AE234" i="6"/>
  <c r="AV234" i="6"/>
  <c r="M238" i="6"/>
  <c r="AJ238" i="6"/>
  <c r="AE242" i="6"/>
  <c r="AV242" i="6"/>
  <c r="AE247" i="6"/>
  <c r="AV247" i="6"/>
  <c r="AU249" i="6"/>
  <c r="AS249" i="6"/>
  <c r="AE251" i="6"/>
  <c r="AV251" i="6"/>
  <c r="AU254" i="6"/>
  <c r="AS254" i="6"/>
  <c r="J262" i="6"/>
  <c r="N262" i="6"/>
  <c r="I267" i="6"/>
  <c r="I266" i="6" s="1"/>
  <c r="H266" i="6" s="1"/>
  <c r="AU267" i="6"/>
  <c r="AS267" i="6"/>
  <c r="AE271" i="6"/>
  <c r="I273" i="6"/>
  <c r="H273" i="6" s="1"/>
  <c r="G273" i="6" s="1"/>
  <c r="AU273" i="6"/>
  <c r="AS273" i="6"/>
  <c r="AV277" i="6"/>
  <c r="AV279" i="6"/>
  <c r="AU284" i="6"/>
  <c r="AU289" i="6"/>
  <c r="AS289" i="6"/>
  <c r="AE291" i="6"/>
  <c r="AV291" i="6"/>
  <c r="AU294" i="6"/>
  <c r="AS294" i="6"/>
  <c r="AE296" i="6"/>
  <c r="AV296" i="6"/>
  <c r="G299" i="6"/>
  <c r="G300" i="6"/>
  <c r="F305" i="6"/>
  <c r="AS305" i="6" s="1"/>
  <c r="AU315" i="6"/>
  <c r="AE317" i="6"/>
  <c r="AV317" i="6"/>
  <c r="AE318" i="6"/>
  <c r="AV318" i="6"/>
  <c r="AE319" i="6"/>
  <c r="AV319" i="6"/>
  <c r="AE320" i="6"/>
  <c r="AV320" i="6"/>
  <c r="AE321" i="6"/>
  <c r="AV321" i="6"/>
  <c r="AE322" i="6"/>
  <c r="AV322" i="6"/>
  <c r="AE323" i="6"/>
  <c r="AV323" i="6"/>
  <c r="AE324" i="6"/>
  <c r="AV324" i="6"/>
  <c r="AE325" i="6"/>
  <c r="AV325" i="6"/>
  <c r="AE326" i="6"/>
  <c r="AV326" i="6"/>
  <c r="AE327" i="6"/>
  <c r="AV327" i="6"/>
  <c r="AE328" i="6"/>
  <c r="AV328" i="6"/>
  <c r="AV331" i="6"/>
  <c r="AU337" i="6"/>
  <c r="AS337" i="6"/>
  <c r="AU348" i="6"/>
  <c r="AS348" i="6"/>
  <c r="AU356" i="6"/>
  <c r="AU357" i="6"/>
  <c r="AU358" i="6"/>
  <c r="AU359" i="6"/>
  <c r="AQ362" i="6"/>
  <c r="AR362" i="6" s="1"/>
  <c r="G364" i="6"/>
  <c r="AE376" i="6"/>
  <c r="AV376" i="6"/>
  <c r="I384" i="6"/>
  <c r="I383" i="6" s="1"/>
  <c r="AN383" i="6"/>
  <c r="AV390" i="6"/>
  <c r="AD394" i="6"/>
  <c r="AU395" i="6"/>
  <c r="AE396" i="6"/>
  <c r="AV396" i="6"/>
  <c r="F398" i="6"/>
  <c r="AS398" i="6" s="1"/>
  <c r="AS400" i="6"/>
  <c r="AU402" i="6"/>
  <c r="AS402" i="6"/>
  <c r="AK407" i="6"/>
  <c r="AU409" i="6"/>
  <c r="AU410" i="6"/>
  <c r="AE411" i="6"/>
  <c r="AV411" i="6"/>
  <c r="G414" i="6"/>
  <c r="G418" i="6"/>
  <c r="G424" i="6"/>
  <c r="AU427" i="6"/>
  <c r="AS427" i="6"/>
  <c r="AU439" i="6"/>
  <c r="AE444" i="6"/>
  <c r="AV444" i="6"/>
  <c r="AU459" i="6"/>
  <c r="AS459" i="6"/>
  <c r="AM466" i="6"/>
  <c r="AE468" i="6"/>
  <c r="AV468" i="6"/>
  <c r="AV469" i="6"/>
  <c r="AV470" i="6"/>
  <c r="AD472" i="6"/>
  <c r="J474" i="6"/>
  <c r="AS474" i="6"/>
  <c r="AE475" i="6"/>
  <c r="F479" i="6"/>
  <c r="AU479" i="6" s="1"/>
  <c r="AU480" i="6"/>
  <c r="AS480" i="6"/>
  <c r="AE485" i="6"/>
  <c r="AV485" i="6"/>
  <c r="AU489" i="6"/>
  <c r="AS489" i="6"/>
  <c r="AD495" i="6"/>
  <c r="AU496" i="6"/>
  <c r="AE497" i="6"/>
  <c r="AV497" i="6"/>
  <c r="AV498" i="6"/>
  <c r="G511" i="6"/>
  <c r="AU516" i="6"/>
  <c r="AS516" i="6"/>
  <c r="AD515" i="6"/>
  <c r="AE515" i="6" s="1"/>
  <c r="AU518" i="6"/>
  <c r="J521" i="6"/>
  <c r="H521" i="6" s="1"/>
  <c r="G521" i="6" s="1"/>
  <c r="AU521" i="6"/>
  <c r="AS521" i="6"/>
  <c r="AE536" i="6"/>
  <c r="AV536" i="6"/>
  <c r="AV548" i="6"/>
  <c r="J557" i="6"/>
  <c r="H557" i="6" s="1"/>
  <c r="G557" i="6" s="1"/>
  <c r="AU557" i="6"/>
  <c r="AS557" i="6"/>
  <c r="AF558" i="6"/>
  <c r="AH555" i="6"/>
  <c r="AF555" i="6" s="1"/>
  <c r="AE562" i="6"/>
  <c r="AE566" i="6"/>
  <c r="J571" i="6"/>
  <c r="H571" i="6" s="1"/>
  <c r="G571" i="6" s="1"/>
  <c r="AS571" i="6"/>
  <c r="J575" i="6"/>
  <c r="H575" i="6" s="1"/>
  <c r="G575" i="6" s="1"/>
  <c r="AS575" i="6"/>
  <c r="J579" i="6"/>
  <c r="H579" i="6" s="1"/>
  <c r="G579" i="6" s="1"/>
  <c r="AS579" i="6"/>
  <c r="AE580" i="6"/>
  <c r="J582" i="6"/>
  <c r="H582" i="6" s="1"/>
  <c r="G582" i="6" s="1"/>
  <c r="AS582" i="6"/>
  <c r="AE584" i="6"/>
  <c r="J586" i="6"/>
  <c r="H586" i="6" s="1"/>
  <c r="G586" i="6" s="1"/>
  <c r="AS586" i="6"/>
  <c r="AE591" i="6"/>
  <c r="AV591" i="6"/>
  <c r="AE592" i="6"/>
  <c r="AV592" i="6"/>
  <c r="S10" i="6"/>
  <c r="S20" i="6"/>
  <c r="AT20" i="6"/>
  <c r="S39" i="6"/>
  <c r="AT39" i="6"/>
  <c r="S46" i="6"/>
  <c r="AT46" i="6"/>
  <c r="S49" i="6"/>
  <c r="S59" i="6"/>
  <c r="AT59" i="6"/>
  <c r="S63" i="6"/>
  <c r="S66" i="6"/>
  <c r="AT66" i="6"/>
  <c r="AT69" i="6"/>
  <c r="AT72" i="6"/>
  <c r="S75" i="6"/>
  <c r="AT75" i="6"/>
  <c r="AT78" i="6"/>
  <c r="S81" i="6"/>
  <c r="AT81" i="6"/>
  <c r="S90" i="6"/>
  <c r="AT90" i="6"/>
  <c r="S97" i="6"/>
  <c r="AT97" i="6"/>
  <c r="S104" i="6"/>
  <c r="AT104" i="6"/>
  <c r="S117" i="6"/>
  <c r="AT117" i="6"/>
  <c r="S133" i="6"/>
  <c r="S137" i="6"/>
  <c r="S150" i="6"/>
  <c r="S161" i="6"/>
  <c r="AT161" i="6"/>
  <c r="S170" i="6"/>
  <c r="AT170" i="6"/>
  <c r="AT174" i="6"/>
  <c r="S179" i="6"/>
  <c r="AT179" i="6"/>
  <c r="S184" i="6"/>
  <c r="AT184" i="6"/>
  <c r="AT187" i="6"/>
  <c r="AT196" i="6"/>
  <c r="AT219" i="6"/>
  <c r="AT223" i="6"/>
  <c r="AT227" i="6"/>
  <c r="S235" i="6"/>
  <c r="AT235" i="6"/>
  <c r="AT243" i="6"/>
  <c r="S246" i="6"/>
  <c r="AT246" i="6"/>
  <c r="S250" i="6"/>
  <c r="AT250" i="6"/>
  <c r="AT254" i="6"/>
  <c r="AT260" i="6"/>
  <c r="Y262" i="6"/>
  <c r="AT280" i="6"/>
  <c r="AT295" i="6"/>
  <c r="AT299" i="6"/>
  <c r="AT315" i="6"/>
  <c r="AT319" i="6"/>
  <c r="S323" i="6"/>
  <c r="AT323" i="6"/>
  <c r="S327" i="6"/>
  <c r="AT327" i="6"/>
  <c r="S336" i="6"/>
  <c r="AT336" i="6"/>
  <c r="AT339" i="6"/>
  <c r="AT342" i="6"/>
  <c r="S346" i="6"/>
  <c r="AT346" i="6"/>
  <c r="AT355" i="6"/>
  <c r="S366" i="6"/>
  <c r="AT366" i="6"/>
  <c r="AT397" i="6"/>
  <c r="AT402" i="6"/>
  <c r="AT409" i="6"/>
  <c r="S416" i="6"/>
  <c r="AT416" i="6"/>
  <c r="AT420" i="6"/>
  <c r="S428" i="6"/>
  <c r="AT428" i="6"/>
  <c r="S436" i="6"/>
  <c r="AT436" i="6"/>
  <c r="AT486" i="6"/>
  <c r="S498" i="6"/>
  <c r="AT498" i="6"/>
  <c r="S505" i="6"/>
  <c r="AT505" i="6"/>
  <c r="T507" i="6"/>
  <c r="S507" i="6" s="1"/>
  <c r="S511" i="6"/>
  <c r="AT511" i="6"/>
  <c r="S518" i="6"/>
  <c r="AT518" i="6"/>
  <c r="AT535" i="6"/>
  <c r="S547" i="6"/>
  <c r="S551" i="6"/>
  <c r="T557" i="6"/>
  <c r="V555" i="6"/>
  <c r="T555" i="6" s="1"/>
  <c r="S561" i="6"/>
  <c r="AT561" i="6"/>
  <c r="S568" i="6"/>
  <c r="S572" i="6"/>
  <c r="S576" i="6"/>
  <c r="S580" i="6"/>
  <c r="S584" i="6"/>
  <c r="AT588" i="6"/>
  <c r="T595" i="6"/>
  <c r="S13" i="6"/>
  <c r="AE210" i="6"/>
  <c r="T543" i="6"/>
  <c r="S543" i="6" s="1"/>
  <c r="V538" i="6"/>
  <c r="AE541" i="6"/>
  <c r="AE549" i="6"/>
  <c r="G503" i="6"/>
  <c r="G419" i="6"/>
  <c r="G420" i="6"/>
  <c r="G448" i="6"/>
  <c r="G486" i="6"/>
  <c r="G505" i="6"/>
  <c r="G509" i="6"/>
  <c r="AE510" i="6"/>
  <c r="AE519" i="6"/>
  <c r="G265" i="6"/>
  <c r="G321" i="6"/>
  <c r="G357" i="6"/>
  <c r="G359" i="6"/>
  <c r="O362" i="6"/>
  <c r="G415" i="6"/>
  <c r="G225" i="6"/>
  <c r="G246" i="6"/>
  <c r="G255" i="6"/>
  <c r="AK362" i="6"/>
  <c r="G250" i="6"/>
  <c r="G428" i="6"/>
  <c r="G432" i="6"/>
  <c r="G409" i="6"/>
  <c r="G410" i="6"/>
  <c r="G411" i="6"/>
  <c r="AE416" i="6"/>
  <c r="G426" i="6"/>
  <c r="AE431" i="6"/>
  <c r="G445" i="6"/>
  <c r="AE436" i="6"/>
  <c r="G468" i="6"/>
  <c r="G470" i="6"/>
  <c r="AE430" i="6"/>
  <c r="AE307" i="6"/>
  <c r="AE437" i="6"/>
  <c r="F269" i="6"/>
  <c r="AS269" i="6" s="1"/>
  <c r="S188" i="6"/>
  <c r="F245" i="6"/>
  <c r="AE268" i="6"/>
  <c r="AE279" i="6"/>
  <c r="G296" i="6"/>
  <c r="G318" i="6"/>
  <c r="G322" i="6"/>
  <c r="G309" i="6"/>
  <c r="G311" i="6"/>
  <c r="AE333" i="6"/>
  <c r="AD23" i="6"/>
  <c r="AF30" i="6"/>
  <c r="AE30" i="6" s="1"/>
  <c r="AG28" i="6"/>
  <c r="AF28" i="6" s="1"/>
  <c r="AE28" i="6" s="1"/>
  <c r="AD38" i="6"/>
  <c r="AF6" i="6"/>
  <c r="AE7" i="6"/>
  <c r="I24" i="6"/>
  <c r="H24" i="6" s="1"/>
  <c r="G24" i="6" s="1"/>
  <c r="K23" i="6"/>
  <c r="F38" i="6"/>
  <c r="AS38" i="6" s="1"/>
  <c r="AF42" i="6"/>
  <c r="AE42" i="6" s="1"/>
  <c r="AG38" i="6"/>
  <c r="AF38" i="6" s="1"/>
  <c r="J37" i="6"/>
  <c r="G39" i="6"/>
  <c r="G40" i="6"/>
  <c r="H43" i="6"/>
  <c r="F56" i="6"/>
  <c r="AU56" i="6" s="1"/>
  <c r="G70" i="6"/>
  <c r="G72" i="6"/>
  <c r="AE78" i="6"/>
  <c r="AE79" i="6"/>
  <c r="AQ86" i="6"/>
  <c r="AR86" i="6" s="1"/>
  <c r="AE102" i="6"/>
  <c r="G107" i="6"/>
  <c r="G116" i="6"/>
  <c r="G117" i="6"/>
  <c r="AE121" i="6"/>
  <c r="AO126" i="6"/>
  <c r="AO86" i="6" s="1"/>
  <c r="AE132" i="6"/>
  <c r="AE136" i="6"/>
  <c r="AE140" i="6"/>
  <c r="AD141" i="6"/>
  <c r="AE143" i="6"/>
  <c r="L151" i="6"/>
  <c r="P151" i="6"/>
  <c r="AE154" i="6"/>
  <c r="G163" i="6"/>
  <c r="AE166" i="6"/>
  <c r="AE167" i="6"/>
  <c r="G176" i="6"/>
  <c r="G177" i="6"/>
  <c r="G178" i="6"/>
  <c r="G183" i="6"/>
  <c r="G190" i="6"/>
  <c r="F210" i="6"/>
  <c r="G212" i="6"/>
  <c r="G213" i="6"/>
  <c r="J215" i="6"/>
  <c r="K217" i="6"/>
  <c r="O217" i="6"/>
  <c r="G222" i="6"/>
  <c r="F231" i="6"/>
  <c r="AE237" i="6"/>
  <c r="G240" i="6"/>
  <c r="G241" i="6"/>
  <c r="G247" i="6"/>
  <c r="G251" i="6"/>
  <c r="G258" i="6"/>
  <c r="G278" i="6"/>
  <c r="G279" i="6"/>
  <c r="G284" i="6"/>
  <c r="F302" i="6"/>
  <c r="AS302" i="6" s="1"/>
  <c r="G307" i="6"/>
  <c r="G310" i="6"/>
  <c r="F312" i="6"/>
  <c r="G323" i="6"/>
  <c r="AF363" i="6"/>
  <c r="AE367" i="6"/>
  <c r="G371" i="6"/>
  <c r="AE435" i="6"/>
  <c r="I467" i="6"/>
  <c r="I466" i="6" s="1"/>
  <c r="H471" i="6"/>
  <c r="G471" i="6" s="1"/>
  <c r="AF71" i="6"/>
  <c r="AJ86" i="6"/>
  <c r="AN86" i="6"/>
  <c r="AF94" i="6"/>
  <c r="H114" i="6"/>
  <c r="F118" i="6"/>
  <c r="AG141" i="6"/>
  <c r="AF141" i="6" s="1"/>
  <c r="F160" i="6"/>
  <c r="AU160" i="6" s="1"/>
  <c r="AQ217" i="6"/>
  <c r="AR217" i="6" s="1"/>
  <c r="AF245" i="6"/>
  <c r="AH262" i="6"/>
  <c r="AG269" i="6"/>
  <c r="AF269" i="6" s="1"/>
  <c r="AF276" i="6"/>
  <c r="G303" i="6"/>
  <c r="AF305" i="6"/>
  <c r="G317" i="6"/>
  <c r="G331" i="6"/>
  <c r="G332" i="6"/>
  <c r="G338" i="6"/>
  <c r="G339" i="6"/>
  <c r="G342" i="6"/>
  <c r="G343" i="6"/>
  <c r="G344" i="6"/>
  <c r="G345" i="6"/>
  <c r="G346" i="6"/>
  <c r="G356" i="6"/>
  <c r="AJ362" i="6"/>
  <c r="AE382" i="6"/>
  <c r="AE385" i="6"/>
  <c r="AE387" i="6"/>
  <c r="O407" i="6"/>
  <c r="AR407" i="6"/>
  <c r="AF425" i="6"/>
  <c r="AE426" i="6"/>
  <c r="AE429" i="6"/>
  <c r="AD231" i="6"/>
  <c r="AE257" i="6"/>
  <c r="AE258" i="6"/>
  <c r="AF259" i="6"/>
  <c r="G260" i="6"/>
  <c r="F263" i="6"/>
  <c r="AU263" i="6" s="1"/>
  <c r="AE272" i="6"/>
  <c r="AE277" i="6"/>
  <c r="AE278" i="6"/>
  <c r="AE286" i="6"/>
  <c r="AE303" i="6"/>
  <c r="AF308" i="6"/>
  <c r="AE314" i="6"/>
  <c r="AE316" i="6"/>
  <c r="G319" i="6"/>
  <c r="G320" i="6"/>
  <c r="AF330" i="6"/>
  <c r="AO329" i="6"/>
  <c r="AD330" i="6"/>
  <c r="G336" i="6"/>
  <c r="G337" i="6"/>
  <c r="AE341" i="6"/>
  <c r="H348" i="6"/>
  <c r="G348" i="6" s="1"/>
  <c r="G353" i="6"/>
  <c r="AE369" i="6"/>
  <c r="AF372" i="6"/>
  <c r="H382" i="6"/>
  <c r="G382" i="6" s="1"/>
  <c r="AE400" i="6"/>
  <c r="AE418" i="6"/>
  <c r="G48" i="6"/>
  <c r="AF50" i="6"/>
  <c r="G59" i="6"/>
  <c r="AE62" i="6"/>
  <c r="AE63" i="6"/>
  <c r="AF77" i="6"/>
  <c r="G82" i="6"/>
  <c r="G83" i="6"/>
  <c r="AE90" i="6"/>
  <c r="AE91" i="6"/>
  <c r="AE104" i="6"/>
  <c r="AE105" i="6"/>
  <c r="G109" i="6"/>
  <c r="G111" i="6"/>
  <c r="G119" i="6"/>
  <c r="AE124" i="6"/>
  <c r="AE125" i="6"/>
  <c r="G157" i="6"/>
  <c r="AF160" i="6"/>
  <c r="G164" i="6"/>
  <c r="AL168" i="6"/>
  <c r="AQ168" i="6"/>
  <c r="AR168" i="6" s="1"/>
  <c r="AE170" i="6"/>
  <c r="G179" i="6"/>
  <c r="G184" i="6"/>
  <c r="G185" i="6"/>
  <c r="G194" i="6"/>
  <c r="G196" i="6"/>
  <c r="G197" i="6"/>
  <c r="AE201" i="6"/>
  <c r="AE202" i="6"/>
  <c r="AF218" i="6"/>
  <c r="G219" i="6"/>
  <c r="G223" i="6"/>
  <c r="G227" i="6"/>
  <c r="G228" i="6"/>
  <c r="AE232" i="6"/>
  <c r="AF335" i="6"/>
  <c r="AF347" i="6"/>
  <c r="AF352" i="6"/>
  <c r="AE371" i="6"/>
  <c r="AE392" i="6"/>
  <c r="G403" i="6"/>
  <c r="G416" i="6"/>
  <c r="G417" i="6"/>
  <c r="H430" i="6"/>
  <c r="AV430" i="6" s="1"/>
  <c r="K425" i="6"/>
  <c r="AF441" i="6"/>
  <c r="AF458" i="6"/>
  <c r="AQ514" i="6"/>
  <c r="AR514" i="6" s="1"/>
  <c r="AE546" i="6"/>
  <c r="AE560" i="6"/>
  <c r="S79" i="6"/>
  <c r="X238" i="6"/>
  <c r="AB238" i="6"/>
  <c r="T259" i="6"/>
  <c r="S287" i="6"/>
  <c r="S307" i="6"/>
  <c r="AB329" i="6"/>
  <c r="AA362" i="6"/>
  <c r="Z466" i="6"/>
  <c r="Z514" i="6"/>
  <c r="F425" i="6"/>
  <c r="AS425" i="6" s="1"/>
  <c r="G429" i="6"/>
  <c r="F433" i="6"/>
  <c r="AS433" i="6" s="1"/>
  <c r="AE447" i="6"/>
  <c r="F472" i="6"/>
  <c r="F482" i="6"/>
  <c r="AS482" i="6" s="1"/>
  <c r="AF495" i="6"/>
  <c r="AE513" i="6"/>
  <c r="G522" i="6"/>
  <c r="G525" i="6"/>
  <c r="AF528" i="6"/>
  <c r="AE531" i="6"/>
  <c r="AK532" i="6"/>
  <c r="AO532" i="6"/>
  <c r="G537" i="6"/>
  <c r="AE545" i="6"/>
  <c r="AE553" i="6"/>
  <c r="F555" i="6"/>
  <c r="AS555" i="6" s="1"/>
  <c r="AE568" i="6"/>
  <c r="AE572" i="6"/>
  <c r="AE576" i="6"/>
  <c r="AD590" i="6"/>
  <c r="AC5" i="6"/>
  <c r="S55" i="6"/>
  <c r="T65" i="6"/>
  <c r="T122" i="6"/>
  <c r="T306" i="6"/>
  <c r="T308" i="6"/>
  <c r="S311" i="6"/>
  <c r="X347" i="6"/>
  <c r="X329" i="6" s="1"/>
  <c r="S445" i="6"/>
  <c r="X440" i="6"/>
  <c r="AB440" i="6"/>
  <c r="X494" i="6"/>
  <c r="AB494" i="6"/>
  <c r="AA532" i="6"/>
  <c r="AF433" i="6"/>
  <c r="AE439" i="6"/>
  <c r="G443" i="6"/>
  <c r="G449" i="6"/>
  <c r="AF467" i="6"/>
  <c r="AE470" i="6"/>
  <c r="AE493" i="6"/>
  <c r="G496" i="6"/>
  <c r="AF500" i="6"/>
  <c r="AE503" i="6"/>
  <c r="AF507" i="6"/>
  <c r="AE509" i="6"/>
  <c r="AF527" i="6"/>
  <c r="AR532" i="6"/>
  <c r="R23" i="6"/>
  <c r="W86" i="6"/>
  <c r="S167" i="6"/>
  <c r="T169" i="6"/>
  <c r="S258" i="6"/>
  <c r="T305" i="6"/>
  <c r="T330" i="6"/>
  <c r="X514" i="6"/>
  <c r="AB514" i="6"/>
  <c r="T524" i="6"/>
  <c r="S524" i="6" s="1"/>
  <c r="H483" i="6"/>
  <c r="G483" i="6" s="1"/>
  <c r="G489" i="6"/>
  <c r="G501" i="6"/>
  <c r="G516" i="6"/>
  <c r="G517" i="6"/>
  <c r="G518" i="6"/>
  <c r="AE574" i="6"/>
  <c r="AE578" i="6"/>
  <c r="AE585" i="6"/>
  <c r="V23" i="6"/>
  <c r="Z23" i="6"/>
  <c r="V86" i="6"/>
  <c r="Z86" i="6"/>
  <c r="X86" i="6"/>
  <c r="T186" i="6"/>
  <c r="T190" i="6"/>
  <c r="AT190" i="6" s="1"/>
  <c r="S304" i="6"/>
  <c r="U329" i="6"/>
  <c r="T373" i="6"/>
  <c r="Z383" i="6"/>
  <c r="T405" i="6"/>
  <c r="Z440" i="6"/>
  <c r="T492" i="6"/>
  <c r="T500" i="6"/>
  <c r="S500" i="6" s="1"/>
  <c r="Z494" i="6"/>
  <c r="AD130" i="6"/>
  <c r="G97" i="6"/>
  <c r="G98" i="6"/>
  <c r="F130" i="6"/>
  <c r="AS130" i="6" s="1"/>
  <c r="G49" i="6"/>
  <c r="AE92" i="6"/>
  <c r="AE93" i="6"/>
  <c r="AE131" i="6"/>
  <c r="AE135" i="6"/>
  <c r="AE139" i="6"/>
  <c r="F43" i="6"/>
  <c r="AS43" i="6" s="1"/>
  <c r="G75" i="6"/>
  <c r="G90" i="6"/>
  <c r="AE133" i="6"/>
  <c r="AE137" i="6"/>
  <c r="S123" i="6"/>
  <c r="G44" i="6"/>
  <c r="G96" i="6"/>
  <c r="G108" i="6"/>
  <c r="AE185" i="6"/>
  <c r="G95" i="6"/>
  <c r="G99" i="6"/>
  <c r="G173" i="6"/>
  <c r="S127" i="6"/>
  <c r="G89" i="6"/>
  <c r="G93" i="6"/>
  <c r="AE98" i="6"/>
  <c r="T433" i="6"/>
  <c r="T488" i="6"/>
  <c r="T451" i="6"/>
  <c r="S313" i="6"/>
  <c r="AE16" i="6"/>
  <c r="G20" i="6"/>
  <c r="AE53" i="6"/>
  <c r="AE54" i="6"/>
  <c r="AF56" i="6"/>
  <c r="AE64" i="6"/>
  <c r="AF65" i="6"/>
  <c r="F71" i="6"/>
  <c r="AU71" i="6" s="1"/>
  <c r="G73" i="6"/>
  <c r="G74" i="6"/>
  <c r="AF80" i="6"/>
  <c r="G81" i="6"/>
  <c r="G88" i="6"/>
  <c r="AF189" i="6"/>
  <c r="AF193" i="6"/>
  <c r="AF199" i="6"/>
  <c r="G200" i="6"/>
  <c r="AE203" i="6"/>
  <c r="AE204" i="6"/>
  <c r="AE212" i="6"/>
  <c r="AE213" i="6"/>
  <c r="AE216" i="6"/>
  <c r="G226" i="6"/>
  <c r="AD218" i="6"/>
  <c r="G229" i="6"/>
  <c r="G230" i="6"/>
  <c r="AE233" i="6"/>
  <c r="K238" i="6"/>
  <c r="O238" i="6"/>
  <c r="AF239" i="6"/>
  <c r="AR245" i="6"/>
  <c r="G252" i="6"/>
  <c r="G253" i="6"/>
  <c r="G254" i="6"/>
  <c r="G257" i="6"/>
  <c r="AR259" i="6"/>
  <c r="F266" i="6"/>
  <c r="AS266" i="6" s="1"/>
  <c r="G268" i="6"/>
  <c r="AG275" i="6"/>
  <c r="G277" i="6"/>
  <c r="G282" i="6"/>
  <c r="AD281" i="6"/>
  <c r="AF285" i="6"/>
  <c r="AD285" i="6"/>
  <c r="G292" i="6"/>
  <c r="AF293" i="6"/>
  <c r="G294" i="6"/>
  <c r="G295" i="6"/>
  <c r="G306" i="6"/>
  <c r="AE311" i="6"/>
  <c r="G316" i="6"/>
  <c r="AR340" i="6"/>
  <c r="G341" i="6"/>
  <c r="F347" i="6"/>
  <c r="F352" i="6"/>
  <c r="I363" i="6"/>
  <c r="H363" i="6" s="1"/>
  <c r="M362" i="6"/>
  <c r="Q362" i="6"/>
  <c r="F363" i="6"/>
  <c r="AE366" i="6"/>
  <c r="AI362" i="6"/>
  <c r="AM362" i="6"/>
  <c r="F368" i="6"/>
  <c r="G374" i="6"/>
  <c r="AE377" i="6"/>
  <c r="AD381" i="6"/>
  <c r="G387" i="6"/>
  <c r="F6" i="6"/>
  <c r="AS6" i="6" s="1"/>
  <c r="AG24" i="6"/>
  <c r="AF24" i="6" s="1"/>
  <c r="AE24" i="6" s="1"/>
  <c r="AK23" i="6"/>
  <c r="AO23" i="6"/>
  <c r="AG34" i="6"/>
  <c r="AF34" i="6" s="1"/>
  <c r="AE34" i="6" s="1"/>
  <c r="G45" i="6"/>
  <c r="G46" i="6"/>
  <c r="G47" i="6"/>
  <c r="AE55" i="6"/>
  <c r="G60" i="6"/>
  <c r="F77" i="6"/>
  <c r="AE88" i="6"/>
  <c r="G91" i="6"/>
  <c r="AE97" i="6"/>
  <c r="AF101" i="6"/>
  <c r="G103" i="6"/>
  <c r="G105" i="6"/>
  <c r="F106" i="6"/>
  <c r="AS106" i="6" s="1"/>
  <c r="AE113" i="6"/>
  <c r="F114" i="6"/>
  <c r="G120" i="6"/>
  <c r="G123" i="6"/>
  <c r="G124" i="6"/>
  <c r="G127" i="6"/>
  <c r="AE145" i="6"/>
  <c r="AE148" i="6"/>
  <c r="AF152" i="6"/>
  <c r="G153" i="6"/>
  <c r="G154" i="6"/>
  <c r="AE164" i="6"/>
  <c r="G172" i="6"/>
  <c r="AE176" i="6"/>
  <c r="AE184" i="6"/>
  <c r="G187" i="6"/>
  <c r="G202" i="6"/>
  <c r="G224" i="6"/>
  <c r="AF231" i="6"/>
  <c r="F405" i="6"/>
  <c r="G405" i="6" s="1"/>
  <c r="G406" i="6"/>
  <c r="G15" i="6"/>
  <c r="AF87" i="6"/>
  <c r="AD122" i="6"/>
  <c r="AE144" i="6"/>
  <c r="AQ151" i="6"/>
  <c r="AR151" i="6" s="1"/>
  <c r="AF155" i="6"/>
  <c r="H156" i="6"/>
  <c r="G156" i="6" s="1"/>
  <c r="G159" i="6"/>
  <c r="G170" i="6"/>
  <c r="G171" i="6"/>
  <c r="G174" i="6"/>
  <c r="H175" i="6"/>
  <c r="AE177" i="6"/>
  <c r="AD186" i="6"/>
  <c r="G188" i="6"/>
  <c r="AE196" i="6"/>
  <c r="AE200" i="6"/>
  <c r="G204" i="6"/>
  <c r="AJ168" i="6"/>
  <c r="G216" i="6"/>
  <c r="F218" i="6"/>
  <c r="G220" i="6"/>
  <c r="G221" i="6"/>
  <c r="AE228" i="6"/>
  <c r="G234" i="6"/>
  <c r="G235" i="6"/>
  <c r="G237" i="6"/>
  <c r="Q238" i="6"/>
  <c r="G242" i="6"/>
  <c r="G243" i="6"/>
  <c r="G248" i="6"/>
  <c r="G249" i="6"/>
  <c r="AE253" i="6"/>
  <c r="AL262" i="6"/>
  <c r="AD266" i="6"/>
  <c r="AR269" i="6"/>
  <c r="G280" i="6"/>
  <c r="AE284" i="6"/>
  <c r="F288" i="6"/>
  <c r="AU288" i="6" s="1"/>
  <c r="F293" i="6"/>
  <c r="AS293" i="6" s="1"/>
  <c r="AF298" i="6"/>
  <c r="AD298" i="6"/>
  <c r="G304" i="6"/>
  <c r="AE306" i="6"/>
  <c r="AE309" i="6"/>
  <c r="G313" i="6"/>
  <c r="G324" i="6"/>
  <c r="G325" i="6"/>
  <c r="G326" i="6"/>
  <c r="G327" i="6"/>
  <c r="G328" i="6"/>
  <c r="AE331" i="6"/>
  <c r="AD340" i="6"/>
  <c r="AE344" i="6"/>
  <c r="AE345" i="6"/>
  <c r="K347" i="6"/>
  <c r="H347" i="6" s="1"/>
  <c r="G349" i="6"/>
  <c r="G350" i="6"/>
  <c r="G354" i="6"/>
  <c r="G355" i="6"/>
  <c r="AD352" i="6"/>
  <c r="G358" i="6"/>
  <c r="AE361" i="6"/>
  <c r="G365" i="6"/>
  <c r="AF368" i="6"/>
  <c r="AO362" i="6"/>
  <c r="G370" i="6"/>
  <c r="AE374" i="6"/>
  <c r="G376" i="6"/>
  <c r="G379" i="6"/>
  <c r="G385" i="6"/>
  <c r="AE390" i="6"/>
  <c r="G393" i="6"/>
  <c r="G396" i="6"/>
  <c r="F394" i="6"/>
  <c r="AS394" i="6" s="1"/>
  <c r="G66" i="6"/>
  <c r="G67" i="6"/>
  <c r="AE70" i="6"/>
  <c r="G76" i="6"/>
  <c r="G79" i="6"/>
  <c r="G100" i="6"/>
  <c r="AF106" i="6"/>
  <c r="AF110" i="6"/>
  <c r="AD110" i="6"/>
  <c r="AU110" i="6" s="1"/>
  <c r="AF114" i="6"/>
  <c r="AF118" i="6"/>
  <c r="AE123" i="6"/>
  <c r="AE127" i="6"/>
  <c r="AG146" i="6"/>
  <c r="AF146" i="6" s="1"/>
  <c r="AR155" i="6"/>
  <c r="AF165" i="6"/>
  <c r="AD165" i="6"/>
  <c r="AF169" i="6"/>
  <c r="AF175" i="6"/>
  <c r="AF182" i="6"/>
  <c r="G195" i="6"/>
  <c r="AK217" i="6"/>
  <c r="AO217" i="6"/>
  <c r="F276" i="6"/>
  <c r="F281" i="6"/>
  <c r="AS281" i="6" s="1"/>
  <c r="G283" i="6"/>
  <c r="G286" i="6"/>
  <c r="G287" i="6"/>
  <c r="H288" i="6"/>
  <c r="G289" i="6"/>
  <c r="G290" i="6"/>
  <c r="G291" i="6"/>
  <c r="G297" i="6"/>
  <c r="AE299" i="6"/>
  <c r="AE300" i="6"/>
  <c r="AF302" i="6"/>
  <c r="AE310" i="6"/>
  <c r="AF312" i="6"/>
  <c r="G314" i="6"/>
  <c r="G315" i="6"/>
  <c r="AE338" i="6"/>
  <c r="AE339" i="6"/>
  <c r="AF340" i="6"/>
  <c r="AE346" i="6"/>
  <c r="AD347" i="6"/>
  <c r="G351" i="6"/>
  <c r="AE356" i="6"/>
  <c r="G366" i="6"/>
  <c r="AD368" i="6"/>
  <c r="AG384" i="6"/>
  <c r="AG383" i="6" s="1"/>
  <c r="G386" i="6"/>
  <c r="AF389" i="6"/>
  <c r="G390" i="6"/>
  <c r="AF394" i="6"/>
  <c r="AE395" i="6"/>
  <c r="G402" i="6"/>
  <c r="AF405" i="6"/>
  <c r="Q407" i="6"/>
  <c r="AE409" i="6"/>
  <c r="AD408" i="6"/>
  <c r="G412" i="6"/>
  <c r="AF413" i="6"/>
  <c r="AE415" i="6"/>
  <c r="AE419" i="6"/>
  <c r="AF421" i="6"/>
  <c r="M425" i="6"/>
  <c r="AE428" i="6"/>
  <c r="G431" i="6"/>
  <c r="G437" i="6"/>
  <c r="AD438" i="6"/>
  <c r="G442" i="6"/>
  <c r="G447" i="6"/>
  <c r="G454" i="6"/>
  <c r="G461" i="6"/>
  <c r="AJ440" i="6"/>
  <c r="G465" i="6"/>
  <c r="AQ466" i="6"/>
  <c r="AD467" i="6"/>
  <c r="G469" i="6"/>
  <c r="AE471" i="6"/>
  <c r="AR476" i="6"/>
  <c r="AR479" i="6"/>
  <c r="AF482" i="6"/>
  <c r="G484" i="6"/>
  <c r="AE487" i="6"/>
  <c r="AG494" i="6"/>
  <c r="AK494" i="6"/>
  <c r="AO494" i="6"/>
  <c r="AE498" i="6"/>
  <c r="AD500" i="6"/>
  <c r="G502" i="6"/>
  <c r="G508" i="6"/>
  <c r="AE511" i="6"/>
  <c r="G519" i="6"/>
  <c r="M514" i="6"/>
  <c r="AE523" i="6"/>
  <c r="AE570" i="6"/>
  <c r="AL494" i="6"/>
  <c r="T32" i="6"/>
  <c r="S32" i="6" s="1"/>
  <c r="U31" i="6"/>
  <c r="T31" i="6" s="1"/>
  <c r="S31" i="6" s="1"/>
  <c r="AB86" i="6"/>
  <c r="G400" i="6"/>
  <c r="F413" i="6"/>
  <c r="AS413" i="6" s="1"/>
  <c r="AR413" i="6"/>
  <c r="AD413" i="6"/>
  <c r="AE417" i="6"/>
  <c r="K421" i="6"/>
  <c r="G427" i="6"/>
  <c r="G435" i="6"/>
  <c r="AE442" i="6"/>
  <c r="AF446" i="6"/>
  <c r="AE453" i="6"/>
  <c r="AE465" i="6"/>
  <c r="N466" i="6"/>
  <c r="AE469" i="6"/>
  <c r="AK466" i="6"/>
  <c r="AO466" i="6"/>
  <c r="H477" i="6"/>
  <c r="G477" i="6" s="1"/>
  <c r="AF479" i="6"/>
  <c r="AF488" i="6"/>
  <c r="G490" i="6"/>
  <c r="H493" i="6"/>
  <c r="G493" i="6" s="1"/>
  <c r="AI494" i="6"/>
  <c r="AE496" i="6"/>
  <c r="G499" i="6"/>
  <c r="AE502" i="6"/>
  <c r="AE508" i="6"/>
  <c r="AF533" i="6"/>
  <c r="G534" i="6"/>
  <c r="AE537" i="6"/>
  <c r="AE543" i="6"/>
  <c r="AF595" i="6"/>
  <c r="AH594" i="6"/>
  <c r="AF594" i="6" s="1"/>
  <c r="G397" i="6"/>
  <c r="AF398" i="6"/>
  <c r="G401" i="6"/>
  <c r="F408" i="6"/>
  <c r="AS408" i="6" s="1"/>
  <c r="AE414" i="6"/>
  <c r="G423" i="6"/>
  <c r="AE424" i="6"/>
  <c r="AD425" i="6"/>
  <c r="G436" i="6"/>
  <c r="AM407" i="6"/>
  <c r="G444" i="6"/>
  <c r="F446" i="6"/>
  <c r="AS446" i="6" s="1"/>
  <c r="AF451" i="6"/>
  <c r="G453" i="6"/>
  <c r="AE460" i="6"/>
  <c r="K466" i="6"/>
  <c r="AE474" i="6"/>
  <c r="AF476" i="6"/>
  <c r="AE478" i="6"/>
  <c r="H480" i="6"/>
  <c r="G480" i="6" s="1"/>
  <c r="G481" i="6"/>
  <c r="G487" i="6"/>
  <c r="H488" i="6"/>
  <c r="J494" i="6"/>
  <c r="AJ494" i="6"/>
  <c r="AN494" i="6"/>
  <c r="G506" i="6"/>
  <c r="G513" i="6"/>
  <c r="AE518" i="6"/>
  <c r="G523" i="6"/>
  <c r="G535" i="6"/>
  <c r="G536" i="6"/>
  <c r="F538" i="6"/>
  <c r="AE544" i="6"/>
  <c r="AE547" i="6"/>
  <c r="AE548" i="6"/>
  <c r="AE551" i="6"/>
  <c r="AE552" i="6"/>
  <c r="G554" i="6"/>
  <c r="AE571" i="6"/>
  <c r="T26" i="6"/>
  <c r="S26" i="6" s="1"/>
  <c r="U24" i="6"/>
  <c r="T24" i="6" s="1"/>
  <c r="S24" i="6" s="1"/>
  <c r="S64" i="6"/>
  <c r="S78" i="6"/>
  <c r="R77" i="6"/>
  <c r="T80" i="6"/>
  <c r="S200" i="6"/>
  <c r="T216" i="6"/>
  <c r="V215" i="6"/>
  <c r="T215" i="6" s="1"/>
  <c r="T276" i="6"/>
  <c r="V275" i="6"/>
  <c r="R276" i="6"/>
  <c r="S277" i="6"/>
  <c r="V494" i="6"/>
  <c r="T512" i="6"/>
  <c r="AE569" i="6"/>
  <c r="AE573" i="6"/>
  <c r="AE577" i="6"/>
  <c r="AE581" i="6"/>
  <c r="AE583" i="6"/>
  <c r="AE587" i="6"/>
  <c r="AE588" i="6"/>
  <c r="AE593" i="6"/>
  <c r="J595" i="6"/>
  <c r="S15" i="6"/>
  <c r="S45" i="6"/>
  <c r="S51" i="6"/>
  <c r="S57" i="6"/>
  <c r="R61" i="6"/>
  <c r="S68" i="6"/>
  <c r="S72" i="6"/>
  <c r="S76" i="6"/>
  <c r="R80" i="6"/>
  <c r="T87" i="6"/>
  <c r="S89" i="6"/>
  <c r="S93" i="6"/>
  <c r="S95" i="6"/>
  <c r="S99" i="6"/>
  <c r="S105" i="6"/>
  <c r="T106" i="6"/>
  <c r="S108" i="6"/>
  <c r="T110" i="6"/>
  <c r="T114" i="6"/>
  <c r="T152" i="6"/>
  <c r="AA151" i="6"/>
  <c r="Y151" i="6"/>
  <c r="AC151" i="6"/>
  <c r="S159" i="6"/>
  <c r="U168" i="6"/>
  <c r="S174" i="6"/>
  <c r="S176" i="6"/>
  <c r="AA168" i="6"/>
  <c r="S183" i="6"/>
  <c r="S196" i="6"/>
  <c r="S211" i="6"/>
  <c r="R231" i="6"/>
  <c r="T236" i="6"/>
  <c r="W275" i="6"/>
  <c r="S286" i="6"/>
  <c r="R285" i="6"/>
  <c r="S339" i="6"/>
  <c r="T376" i="6"/>
  <c r="X375" i="6"/>
  <c r="V383" i="6"/>
  <c r="S385" i="6"/>
  <c r="R384" i="6"/>
  <c r="V407" i="6"/>
  <c r="G588" i="6"/>
  <c r="T43" i="6"/>
  <c r="S52" i="6"/>
  <c r="S73" i="6"/>
  <c r="S92" i="6"/>
  <c r="T101" i="6"/>
  <c r="S111" i="6"/>
  <c r="R118" i="6"/>
  <c r="R122" i="6"/>
  <c r="AB151" i="6"/>
  <c r="U151" i="6"/>
  <c r="Z151" i="6"/>
  <c r="S177" i="6"/>
  <c r="U217" i="6"/>
  <c r="Y217" i="6"/>
  <c r="AC217" i="6"/>
  <c r="AA275" i="6"/>
  <c r="AA329" i="6"/>
  <c r="AA383" i="6"/>
  <c r="X5" i="6"/>
  <c r="AB5" i="6"/>
  <c r="S40" i="6"/>
  <c r="T50" i="6"/>
  <c r="S60" i="6"/>
  <c r="S69" i="6"/>
  <c r="T71" i="6"/>
  <c r="T77" i="6"/>
  <c r="S83" i="6"/>
  <c r="T94" i="6"/>
  <c r="Y86" i="6"/>
  <c r="S98" i="6"/>
  <c r="S115" i="6"/>
  <c r="S120" i="6"/>
  <c r="R126" i="6"/>
  <c r="R141" i="6"/>
  <c r="T175" i="6"/>
  <c r="Y168" i="6"/>
  <c r="T195" i="6"/>
  <c r="V193" i="6"/>
  <c r="T193" i="6" s="1"/>
  <c r="T199" i="6"/>
  <c r="S203" i="6"/>
  <c r="S212" i="6"/>
  <c r="T218" i="6"/>
  <c r="V217" i="6"/>
  <c r="S219" i="6"/>
  <c r="R218" i="6"/>
  <c r="X262" i="6"/>
  <c r="T363" i="6"/>
  <c r="U362" i="6"/>
  <c r="T239" i="6"/>
  <c r="U238" i="6"/>
  <c r="Y238" i="6"/>
  <c r="AC238" i="6"/>
  <c r="S254" i="6"/>
  <c r="AC262" i="6"/>
  <c r="S284" i="6"/>
  <c r="X275" i="6"/>
  <c r="AB275" i="6"/>
  <c r="S295" i="6"/>
  <c r="S314" i="6"/>
  <c r="S321" i="6"/>
  <c r="S337" i="6"/>
  <c r="S348" i="6"/>
  <c r="T360" i="6"/>
  <c r="T382" i="6"/>
  <c r="W381" i="6"/>
  <c r="W362" i="6" s="1"/>
  <c r="R421" i="6"/>
  <c r="AB466" i="6"/>
  <c r="T515" i="6"/>
  <c r="R182" i="6"/>
  <c r="S187" i="6"/>
  <c r="T189" i="6"/>
  <c r="S194" i="6"/>
  <c r="S198" i="6"/>
  <c r="S204" i="6"/>
  <c r="T210" i="6"/>
  <c r="S213" i="6"/>
  <c r="S223" i="6"/>
  <c r="S230" i="6"/>
  <c r="T231" i="6"/>
  <c r="S232" i="6"/>
  <c r="S248" i="6"/>
  <c r="S255" i="6"/>
  <c r="T256" i="6"/>
  <c r="Z238" i="6"/>
  <c r="S257" i="6"/>
  <c r="S260" i="6"/>
  <c r="S279" i="6"/>
  <c r="S290" i="6"/>
  <c r="S296" i="6"/>
  <c r="S299" i="6"/>
  <c r="T302" i="6"/>
  <c r="S309" i="6"/>
  <c r="S315" i="6"/>
  <c r="S318" i="6"/>
  <c r="S325" i="6"/>
  <c r="S332" i="6"/>
  <c r="V335" i="6"/>
  <c r="T335" i="6" s="1"/>
  <c r="S338" i="6"/>
  <c r="Z329" i="6"/>
  <c r="S342" i="6"/>
  <c r="S350" i="6"/>
  <c r="S357" i="6"/>
  <c r="S364" i="6"/>
  <c r="T368" i="6"/>
  <c r="S379" i="6"/>
  <c r="X383" i="6"/>
  <c r="AB383" i="6"/>
  <c r="X407" i="6"/>
  <c r="AB407" i="6"/>
  <c r="T422" i="6"/>
  <c r="W421" i="6"/>
  <c r="T426" i="6"/>
  <c r="Y425" i="6"/>
  <c r="T430" i="6"/>
  <c r="W425" i="6"/>
  <c r="T483" i="6"/>
  <c r="V482" i="6"/>
  <c r="T528" i="6"/>
  <c r="U527" i="6"/>
  <c r="T527" i="6" s="1"/>
  <c r="T533" i="6"/>
  <c r="W532" i="6"/>
  <c r="T594" i="6"/>
  <c r="S227" i="6"/>
  <c r="R236" i="6"/>
  <c r="W238" i="6"/>
  <c r="R239" i="6"/>
  <c r="AS239" i="6" s="1"/>
  <c r="S243" i="6"/>
  <c r="S252" i="6"/>
  <c r="S261" i="6"/>
  <c r="S265" i="6"/>
  <c r="S280" i="6"/>
  <c r="T281" i="6"/>
  <c r="T285" i="6"/>
  <c r="Y275" i="6"/>
  <c r="AC275" i="6"/>
  <c r="S291" i="6"/>
  <c r="R298" i="6"/>
  <c r="S303" i="6"/>
  <c r="S310" i="6"/>
  <c r="S319" i="6"/>
  <c r="S333" i="6"/>
  <c r="Y329" i="6"/>
  <c r="AC329" i="6"/>
  <c r="S351" i="6"/>
  <c r="T352" i="6"/>
  <c r="T361" i="6"/>
  <c r="T372" i="6"/>
  <c r="T389" i="6"/>
  <c r="Y438" i="6"/>
  <c r="T438" i="6" s="1"/>
  <c r="T439" i="6"/>
  <c r="T441" i="6"/>
  <c r="U440" i="6"/>
  <c r="Y440" i="6"/>
  <c r="AC440" i="6"/>
  <c r="V440" i="6"/>
  <c r="T458" i="6"/>
  <c r="S459" i="6"/>
  <c r="R440" i="6"/>
  <c r="T495" i="6"/>
  <c r="U494" i="6"/>
  <c r="Y494" i="6"/>
  <c r="AC494" i="6"/>
  <c r="R494" i="6"/>
  <c r="T446" i="6"/>
  <c r="S374" i="6"/>
  <c r="S386" i="6"/>
  <c r="S392" i="6"/>
  <c r="T394" i="6"/>
  <c r="S396" i="6"/>
  <c r="T398" i="6"/>
  <c r="S400" i="6"/>
  <c r="S402" i="6"/>
  <c r="S412" i="6"/>
  <c r="S414" i="6"/>
  <c r="S420" i="6"/>
  <c r="S427" i="6"/>
  <c r="S431" i="6"/>
  <c r="S434" i="6"/>
  <c r="S470" i="6"/>
  <c r="T476" i="6"/>
  <c r="T477" i="6"/>
  <c r="S478" i="6"/>
  <c r="S484" i="6"/>
  <c r="S486" i="6"/>
  <c r="T493" i="6"/>
  <c r="T504" i="6"/>
  <c r="S509" i="6"/>
  <c r="S517" i="6"/>
  <c r="S522" i="6"/>
  <c r="S535" i="6"/>
  <c r="S588" i="6"/>
  <c r="S387" i="6"/>
  <c r="S393" i="6"/>
  <c r="S397" i="6"/>
  <c r="S401" i="6"/>
  <c r="S409" i="6"/>
  <c r="S411" i="6"/>
  <c r="T413" i="6"/>
  <c r="S415" i="6"/>
  <c r="S432" i="6"/>
  <c r="S435" i="6"/>
  <c r="S444" i="6"/>
  <c r="T453" i="6"/>
  <c r="S465" i="6"/>
  <c r="R472" i="6"/>
  <c r="T480" i="6"/>
  <c r="S485" i="6"/>
  <c r="S490" i="6"/>
  <c r="S497" i="6"/>
  <c r="S502" i="6"/>
  <c r="S513" i="6"/>
  <c r="R520" i="6"/>
  <c r="S529" i="6"/>
  <c r="T530" i="6"/>
  <c r="S531" i="6"/>
  <c r="S536" i="6"/>
  <c r="R590" i="6"/>
  <c r="S593" i="6"/>
  <c r="T142" i="6"/>
  <c r="U141" i="6"/>
  <c r="T141" i="6" s="1"/>
  <c r="U6" i="6"/>
  <c r="T7" i="6"/>
  <c r="T18" i="6"/>
  <c r="U17" i="6"/>
  <c r="T17" i="6" s="1"/>
  <c r="T41" i="6"/>
  <c r="U38" i="6"/>
  <c r="T131" i="6"/>
  <c r="U130" i="6"/>
  <c r="T130" i="6" s="1"/>
  <c r="T147" i="6"/>
  <c r="U146" i="6"/>
  <c r="T146" i="6" s="1"/>
  <c r="T62" i="6"/>
  <c r="U61" i="6"/>
  <c r="T61" i="6" s="1"/>
  <c r="U28" i="6"/>
  <c r="U34" i="6"/>
  <c r="T34" i="6" s="1"/>
  <c r="S34" i="6" s="1"/>
  <c r="T156" i="6"/>
  <c r="R160" i="6"/>
  <c r="R165" i="6"/>
  <c r="S171" i="6"/>
  <c r="T273" i="6"/>
  <c r="W151" i="6"/>
  <c r="T163" i="6"/>
  <c r="V160" i="6"/>
  <c r="T160" i="6" s="1"/>
  <c r="T182" i="6"/>
  <c r="W168" i="6"/>
  <c r="T267" i="6"/>
  <c r="U266" i="6"/>
  <c r="T266" i="6" s="1"/>
  <c r="R50" i="6"/>
  <c r="R71" i="6"/>
  <c r="T155" i="6"/>
  <c r="S164" i="6"/>
  <c r="R169" i="6"/>
  <c r="V238" i="6"/>
  <c r="U275" i="6"/>
  <c r="W347" i="6"/>
  <c r="S355" i="6"/>
  <c r="T388" i="6"/>
  <c r="S388" i="6" s="1"/>
  <c r="U384" i="6"/>
  <c r="T473" i="6"/>
  <c r="V472" i="6"/>
  <c r="T521" i="6"/>
  <c r="V520" i="6"/>
  <c r="V514" i="6" s="1"/>
  <c r="U590" i="6"/>
  <c r="T591" i="6"/>
  <c r="T471" i="6"/>
  <c r="S471" i="6" s="1"/>
  <c r="U467" i="6"/>
  <c r="R245" i="6"/>
  <c r="R259" i="6"/>
  <c r="R308" i="6"/>
  <c r="R347" i="6"/>
  <c r="T540" i="6"/>
  <c r="S540" i="6" s="1"/>
  <c r="R533" i="6"/>
  <c r="W479" i="6"/>
  <c r="O23" i="6"/>
  <c r="M466" i="6"/>
  <c r="AF492" i="6"/>
  <c r="AI514" i="6"/>
  <c r="AM514" i="6"/>
  <c r="M86" i="6"/>
  <c r="O86" i="6"/>
  <c r="L329" i="6"/>
  <c r="P329" i="6"/>
  <c r="K37" i="6"/>
  <c r="O37" i="6"/>
  <c r="L37" i="6"/>
  <c r="P37" i="6"/>
  <c r="J86" i="6"/>
  <c r="N86" i="6"/>
  <c r="L168" i="6"/>
  <c r="P168" i="6"/>
  <c r="P440" i="6"/>
  <c r="H464" i="6"/>
  <c r="H504" i="6"/>
  <c r="N514" i="6"/>
  <c r="AJ514" i="6"/>
  <c r="AN514" i="6"/>
  <c r="M151" i="6"/>
  <c r="Q151" i="6"/>
  <c r="H231" i="6"/>
  <c r="AF236" i="6"/>
  <c r="H256" i="6"/>
  <c r="J275" i="6"/>
  <c r="N275" i="6"/>
  <c r="H281" i="6"/>
  <c r="L407" i="6"/>
  <c r="AL407" i="6"/>
  <c r="AF438" i="6"/>
  <c r="AG466" i="6"/>
  <c r="O466" i="6"/>
  <c r="J23" i="6"/>
  <c r="N23" i="6"/>
  <c r="AN264" i="6"/>
  <c r="AF264" i="6" s="1"/>
  <c r="L217" i="6"/>
  <c r="P217" i="6"/>
  <c r="AI329" i="6"/>
  <c r="AM329" i="6"/>
  <c r="AN362" i="6"/>
  <c r="J383" i="6"/>
  <c r="N383" i="6"/>
  <c r="H389" i="6"/>
  <c r="L383" i="6"/>
  <c r="L440" i="6"/>
  <c r="N494" i="6"/>
  <c r="Q514" i="6"/>
  <c r="AG514" i="6"/>
  <c r="H533" i="6"/>
  <c r="M37" i="6"/>
  <c r="Q37" i="6"/>
  <c r="H56" i="6"/>
  <c r="H65" i="6"/>
  <c r="L86" i="6"/>
  <c r="P86" i="6"/>
  <c r="H106" i="6"/>
  <c r="H122" i="6"/>
  <c r="K383" i="6"/>
  <c r="O383" i="6"/>
  <c r="M217" i="6"/>
  <c r="Q275" i="6"/>
  <c r="H495" i="6"/>
  <c r="K514" i="6"/>
  <c r="O514" i="6"/>
  <c r="AK514" i="6"/>
  <c r="AO514" i="6"/>
  <c r="K532" i="6"/>
  <c r="O532" i="6"/>
  <c r="H186" i="6"/>
  <c r="P238" i="6"/>
  <c r="M262" i="6"/>
  <c r="Q262" i="6"/>
  <c r="K262" i="6"/>
  <c r="P362" i="6"/>
  <c r="AH362" i="6"/>
  <c r="AL362" i="6"/>
  <c r="H94" i="6"/>
  <c r="H165" i="6"/>
  <c r="H352" i="6"/>
  <c r="P383" i="6"/>
  <c r="AF464" i="6"/>
  <c r="K494" i="6"/>
  <c r="O494" i="6"/>
  <c r="L275" i="6"/>
  <c r="P275" i="6"/>
  <c r="H308" i="6"/>
  <c r="H408" i="6"/>
  <c r="J440" i="6"/>
  <c r="N440" i="6"/>
  <c r="I494" i="6"/>
  <c r="M494" i="6"/>
  <c r="Q494" i="6"/>
  <c r="H500" i="6"/>
  <c r="H515" i="6"/>
  <c r="AV515" i="6" s="1"/>
  <c r="AF524" i="6"/>
  <c r="AE524" i="6" s="1"/>
  <c r="AL514" i="6"/>
  <c r="O329" i="6"/>
  <c r="H80" i="6"/>
  <c r="H152" i="6"/>
  <c r="H210" i="6"/>
  <c r="AG217" i="6"/>
  <c r="H218" i="6"/>
  <c r="H245" i="6"/>
  <c r="K275" i="6"/>
  <c r="O275" i="6"/>
  <c r="AL329" i="6"/>
  <c r="J362" i="6"/>
  <c r="H398" i="6"/>
  <c r="J407" i="6"/>
  <c r="N407" i="6"/>
  <c r="H438" i="6"/>
  <c r="H441" i="6"/>
  <c r="M440" i="6"/>
  <c r="Q440" i="6"/>
  <c r="P466" i="6"/>
  <c r="H512" i="6"/>
  <c r="G512" i="6" s="1"/>
  <c r="AF530" i="6"/>
  <c r="L532" i="6"/>
  <c r="P532" i="6"/>
  <c r="H71" i="6"/>
  <c r="H199" i="6"/>
  <c r="AF215" i="6"/>
  <c r="H236" i="6"/>
  <c r="H239" i="6"/>
  <c r="H259" i="6"/>
  <c r="H298" i="6"/>
  <c r="H302" i="6"/>
  <c r="H312" i="6"/>
  <c r="H330" i="6"/>
  <c r="M329" i="6"/>
  <c r="Q329" i="6"/>
  <c r="H360" i="6"/>
  <c r="H394" i="6"/>
  <c r="I407" i="6"/>
  <c r="H492" i="6"/>
  <c r="L494" i="6"/>
  <c r="P494" i="6"/>
  <c r="H507" i="6"/>
  <c r="G507" i="6" s="1"/>
  <c r="L514" i="6"/>
  <c r="P514" i="6"/>
  <c r="H524" i="6"/>
  <c r="M532" i="6"/>
  <c r="Q532" i="6"/>
  <c r="H50" i="6"/>
  <c r="H77" i="6"/>
  <c r="H87" i="6"/>
  <c r="G87" i="6" s="1"/>
  <c r="H101" i="6"/>
  <c r="O151" i="6"/>
  <c r="H155" i="6"/>
  <c r="H169" i="6"/>
  <c r="G169" i="6" s="1"/>
  <c r="M168" i="6"/>
  <c r="Q168" i="6"/>
  <c r="H182" i="6"/>
  <c r="J238" i="6"/>
  <c r="N238" i="6"/>
  <c r="H276" i="6"/>
  <c r="H285" i="6"/>
  <c r="H293" i="6"/>
  <c r="N329" i="6"/>
  <c r="AF360" i="6"/>
  <c r="H368" i="6"/>
  <c r="M383" i="6"/>
  <c r="Q383" i="6"/>
  <c r="P407" i="6"/>
  <c r="H413" i="6"/>
  <c r="H433" i="6"/>
  <c r="O440" i="6"/>
  <c r="AK440" i="6"/>
  <c r="AO440" i="6"/>
  <c r="H458" i="6"/>
  <c r="AN466" i="6"/>
  <c r="AF512" i="6"/>
  <c r="H530" i="6"/>
  <c r="H62" i="6"/>
  <c r="G62" i="6" s="1"/>
  <c r="I7" i="6"/>
  <c r="F61" i="6"/>
  <c r="AD101" i="6"/>
  <c r="H110" i="6"/>
  <c r="AE112" i="6"/>
  <c r="H118" i="6"/>
  <c r="AD87" i="6"/>
  <c r="F94" i="6"/>
  <c r="AS94" i="6" s="1"/>
  <c r="AD129" i="6"/>
  <c r="AE129" i="6" s="1"/>
  <c r="H129" i="6"/>
  <c r="G129" i="6" s="1"/>
  <c r="F17" i="6"/>
  <c r="G92" i="6"/>
  <c r="F101" i="6"/>
  <c r="AS101" i="6" s="1"/>
  <c r="AE108" i="6"/>
  <c r="AE120" i="6"/>
  <c r="F141" i="6"/>
  <c r="I151" i="6"/>
  <c r="AG151" i="6"/>
  <c r="J160" i="6"/>
  <c r="J151" i="6" s="1"/>
  <c r="I168" i="6"/>
  <c r="AG168" i="6"/>
  <c r="AR169" i="6"/>
  <c r="I238" i="6"/>
  <c r="AG238" i="6"/>
  <c r="AP238" i="6"/>
  <c r="AR239" i="6"/>
  <c r="AG130" i="6"/>
  <c r="F146" i="6"/>
  <c r="AS146" i="6" s="1"/>
  <c r="AQ262" i="6"/>
  <c r="AR262" i="6" s="1"/>
  <c r="AR263" i="6"/>
  <c r="I305" i="6"/>
  <c r="I329" i="6"/>
  <c r="AG329" i="6"/>
  <c r="AP329" i="6"/>
  <c r="AG362" i="6"/>
  <c r="AD363" i="6"/>
  <c r="AE370" i="6"/>
  <c r="L375" i="6"/>
  <c r="H375" i="6" s="1"/>
  <c r="AF378" i="6"/>
  <c r="AE378" i="6" s="1"/>
  <c r="AF381" i="6"/>
  <c r="H373" i="6"/>
  <c r="G373" i="6" s="1"/>
  <c r="K372" i="6"/>
  <c r="K362" i="6" s="1"/>
  <c r="H378" i="6"/>
  <c r="G378" i="6" s="1"/>
  <c r="J335" i="6"/>
  <c r="J329" i="6" s="1"/>
  <c r="H381" i="6"/>
  <c r="AQ383" i="6"/>
  <c r="AR383" i="6" s="1"/>
  <c r="H422" i="6"/>
  <c r="G422" i="6" s="1"/>
  <c r="H439" i="6"/>
  <c r="G439" i="6" s="1"/>
  <c r="AG440" i="6"/>
  <c r="AL440" i="6"/>
  <c r="AR441" i="6"/>
  <c r="AQ440" i="6"/>
  <c r="AR440" i="6" s="1"/>
  <c r="I451" i="6"/>
  <c r="H460" i="6"/>
  <c r="G460" i="6" s="1"/>
  <c r="H446" i="6"/>
  <c r="AD446" i="6"/>
  <c r="G452" i="6"/>
  <c r="G459" i="6"/>
  <c r="F458" i="6"/>
  <c r="H476" i="6"/>
  <c r="F467" i="6"/>
  <c r="AS467" i="6" s="1"/>
  <c r="L479" i="6"/>
  <c r="L482" i="6"/>
  <c r="H482" i="6" s="1"/>
  <c r="AD492" i="6"/>
  <c r="F495" i="6"/>
  <c r="AS495" i="6" s="1"/>
  <c r="F500" i="6"/>
  <c r="AS500" i="6" s="1"/>
  <c r="F504" i="6"/>
  <c r="AS504" i="6" s="1"/>
  <c r="F515" i="6"/>
  <c r="AS515" i="6" s="1"/>
  <c r="F520" i="6"/>
  <c r="AD520" i="6"/>
  <c r="F527" i="6"/>
  <c r="AS527" i="6" s="1"/>
  <c r="AF540" i="6"/>
  <c r="AE540" i="6" s="1"/>
  <c r="AF473" i="6"/>
  <c r="F488" i="6"/>
  <c r="AU488" i="6" s="1"/>
  <c r="F524" i="6"/>
  <c r="J540" i="6"/>
  <c r="I590" i="6"/>
  <c r="H590" i="6" s="1"/>
  <c r="AG590" i="6"/>
  <c r="AF590" i="6" s="1"/>
  <c r="AU169" i="6" l="1"/>
  <c r="AU533" i="6"/>
  <c r="AU308" i="6"/>
  <c r="AS363" i="6"/>
  <c r="G308" i="6"/>
  <c r="AR238" i="6"/>
  <c r="AR329" i="6"/>
  <c r="G441" i="6"/>
  <c r="K407" i="6"/>
  <c r="G122" i="6"/>
  <c r="G293" i="6"/>
  <c r="G446" i="6"/>
  <c r="AU312" i="6"/>
  <c r="AD262" i="6"/>
  <c r="AU122" i="6"/>
  <c r="AU441" i="6"/>
  <c r="W329" i="6"/>
  <c r="G256" i="6"/>
  <c r="AV574" i="6"/>
  <c r="G259" i="6"/>
  <c r="H451" i="6"/>
  <c r="G451" i="6" s="1"/>
  <c r="W466" i="6"/>
  <c r="AU199" i="6"/>
  <c r="G438" i="6"/>
  <c r="AV541" i="6"/>
  <c r="G199" i="6"/>
  <c r="AS199" i="6"/>
  <c r="G245" i="6"/>
  <c r="G533" i="6"/>
  <c r="H384" i="6"/>
  <c r="G384" i="6" s="1"/>
  <c r="Q126" i="6"/>
  <c r="Q86" i="6" s="1"/>
  <c r="Q4" i="6" s="1"/>
  <c r="AT583" i="6"/>
  <c r="AT541" i="6"/>
  <c r="AF5" i="6"/>
  <c r="G464" i="6"/>
  <c r="G347" i="6"/>
  <c r="G285" i="6"/>
  <c r="AS245" i="6"/>
  <c r="AT134" i="6"/>
  <c r="K329" i="6"/>
  <c r="K4" i="6" s="1"/>
  <c r="AU464" i="6"/>
  <c r="AE276" i="6"/>
  <c r="AV558" i="6"/>
  <c r="AS77" i="6"/>
  <c r="AE256" i="6"/>
  <c r="R362" i="6"/>
  <c r="AF384" i="6"/>
  <c r="AE384" i="6" s="1"/>
  <c r="T482" i="6"/>
  <c r="S482" i="6" s="1"/>
  <c r="AV150" i="6"/>
  <c r="AV132" i="6"/>
  <c r="G110" i="6"/>
  <c r="G186" i="6"/>
  <c r="AU438" i="6"/>
  <c r="AT150" i="6"/>
  <c r="AT145" i="6"/>
  <c r="AT132" i="6"/>
  <c r="AT574" i="6"/>
  <c r="AT144" i="6"/>
  <c r="G239" i="6"/>
  <c r="S256" i="6"/>
  <c r="AE507" i="6"/>
  <c r="AT547" i="6"/>
  <c r="AT149" i="6"/>
  <c r="AV563" i="6"/>
  <c r="AV145" i="6"/>
  <c r="G77" i="6"/>
  <c r="AT572" i="6"/>
  <c r="AS236" i="6"/>
  <c r="H425" i="6"/>
  <c r="G425" i="6" s="1"/>
  <c r="AT576" i="6"/>
  <c r="AT11" i="6"/>
  <c r="AT578" i="6"/>
  <c r="AT21" i="6"/>
  <c r="I61" i="6"/>
  <c r="H61" i="6" s="1"/>
  <c r="AT61" i="6" s="1"/>
  <c r="G236" i="6"/>
  <c r="AU425" i="6"/>
  <c r="H267" i="6"/>
  <c r="G267" i="6" s="1"/>
  <c r="J168" i="6"/>
  <c r="H168" i="6" s="1"/>
  <c r="G231" i="6"/>
  <c r="AS285" i="6"/>
  <c r="G530" i="6"/>
  <c r="G590" i="6"/>
  <c r="J520" i="6"/>
  <c r="H520" i="6" s="1"/>
  <c r="G520" i="6" s="1"/>
  <c r="G193" i="6"/>
  <c r="AU285" i="6"/>
  <c r="AT568" i="6"/>
  <c r="AV271" i="6"/>
  <c r="AT271" i="6"/>
  <c r="AV14" i="6"/>
  <c r="G482" i="6"/>
  <c r="H215" i="6"/>
  <c r="G215" i="6" s="1"/>
  <c r="T128" i="6"/>
  <c r="S128" i="6" s="1"/>
  <c r="AS590" i="6"/>
  <c r="I527" i="6"/>
  <c r="H527" i="6" s="1"/>
  <c r="G527" i="6" s="1"/>
  <c r="G375" i="6"/>
  <c r="AE352" i="6"/>
  <c r="AV475" i="6"/>
  <c r="AS65" i="6"/>
  <c r="AE330" i="6"/>
  <c r="AT587" i="6"/>
  <c r="H128" i="6"/>
  <c r="G128" i="6" s="1"/>
  <c r="G43" i="6"/>
  <c r="G368" i="6"/>
  <c r="G352" i="6"/>
  <c r="AS71" i="6"/>
  <c r="AG37" i="6"/>
  <c r="AF37" i="6" s="1"/>
  <c r="AT63" i="6"/>
  <c r="J472" i="6"/>
  <c r="AT567" i="6"/>
  <c r="AV581" i="6"/>
  <c r="AV140" i="6"/>
  <c r="AD128" i="6"/>
  <c r="AU128" i="6" s="1"/>
  <c r="G389" i="6"/>
  <c r="AU340" i="6"/>
  <c r="AU381" i="6"/>
  <c r="AE425" i="6"/>
  <c r="AE6" i="6"/>
  <c r="AT13" i="6"/>
  <c r="AT584" i="6"/>
  <c r="AV577" i="6"/>
  <c r="AT546" i="6"/>
  <c r="AE504" i="6"/>
  <c r="AU476" i="6"/>
  <c r="G50" i="6"/>
  <c r="G476" i="6"/>
  <c r="G381" i="6"/>
  <c r="AF168" i="6"/>
  <c r="G118" i="6"/>
  <c r="M407" i="6"/>
  <c r="M4" i="6" s="1"/>
  <c r="G302" i="6"/>
  <c r="AT10" i="6"/>
  <c r="AV584" i="6"/>
  <c r="AT140" i="6"/>
  <c r="AT19" i="6"/>
  <c r="AV567" i="6"/>
  <c r="AV19" i="6"/>
  <c r="F440" i="6"/>
  <c r="AS440" i="6" s="1"/>
  <c r="AF238" i="6"/>
  <c r="AN263" i="6"/>
  <c r="AN262" i="6" s="1"/>
  <c r="AN4" i="6" s="1"/>
  <c r="G61" i="6"/>
  <c r="G312" i="6"/>
  <c r="G106" i="6"/>
  <c r="G175" i="6"/>
  <c r="AV580" i="6"/>
  <c r="G340" i="6"/>
  <c r="AS375" i="6"/>
  <c r="AV9" i="6"/>
  <c r="G298" i="6"/>
  <c r="AU298" i="6"/>
  <c r="AE269" i="6"/>
  <c r="AT138" i="6"/>
  <c r="AV12" i="6"/>
  <c r="G394" i="6"/>
  <c r="AR466" i="6"/>
  <c r="G114" i="6"/>
  <c r="AT580" i="6"/>
  <c r="AV361" i="6"/>
  <c r="AE446" i="6"/>
  <c r="H217" i="6"/>
  <c r="AG262" i="6"/>
  <c r="AF494" i="6"/>
  <c r="I23" i="6"/>
  <c r="H23" i="6" s="1"/>
  <c r="G23" i="6" s="1"/>
  <c r="G524" i="6"/>
  <c r="G363" i="6"/>
  <c r="F168" i="6"/>
  <c r="I146" i="6"/>
  <c r="H146" i="6" s="1"/>
  <c r="AV146" i="6" s="1"/>
  <c r="AF407" i="6"/>
  <c r="I362" i="6"/>
  <c r="I141" i="6"/>
  <c r="H141" i="6" s="1"/>
  <c r="AT141" i="6" s="1"/>
  <c r="H147" i="6"/>
  <c r="G147" i="6" s="1"/>
  <c r="I38" i="6"/>
  <c r="G492" i="6"/>
  <c r="V329" i="6"/>
  <c r="T329" i="6" s="1"/>
  <c r="S368" i="6"/>
  <c r="AS80" i="6"/>
  <c r="AU347" i="6"/>
  <c r="G288" i="6"/>
  <c r="F238" i="6"/>
  <c r="AT133" i="6"/>
  <c r="AV566" i="6"/>
  <c r="AV578" i="6"/>
  <c r="AV565" i="6"/>
  <c r="AT565" i="6"/>
  <c r="AT12" i="6"/>
  <c r="I130" i="6"/>
  <c r="AG23" i="6"/>
  <c r="AF23" i="6" s="1"/>
  <c r="AE23" i="6" s="1"/>
  <c r="G182" i="6"/>
  <c r="G155" i="6"/>
  <c r="AF217" i="6"/>
  <c r="G80" i="6"/>
  <c r="H494" i="6"/>
  <c r="G165" i="6"/>
  <c r="AS533" i="6"/>
  <c r="AS165" i="6"/>
  <c r="AS218" i="6"/>
  <c r="G430" i="6"/>
  <c r="AE495" i="6"/>
  <c r="AU330" i="6"/>
  <c r="AT137" i="6"/>
  <c r="AV562" i="6"/>
  <c r="AS594" i="6"/>
  <c r="AS155" i="6"/>
  <c r="AV559" i="6"/>
  <c r="AT569" i="6"/>
  <c r="AT562" i="6"/>
  <c r="AU189" i="6"/>
  <c r="AV139" i="6"/>
  <c r="AV131" i="6"/>
  <c r="AU80" i="6"/>
  <c r="AF151" i="6"/>
  <c r="G276" i="6"/>
  <c r="G330" i="6"/>
  <c r="G398" i="6"/>
  <c r="G210" i="6"/>
  <c r="AS160" i="6"/>
  <c r="AS182" i="6"/>
  <c r="S190" i="6"/>
  <c r="AS126" i="6"/>
  <c r="AE441" i="6"/>
  <c r="AF266" i="6"/>
  <c r="AE266" i="6" s="1"/>
  <c r="AV569" i="6"/>
  <c r="AT559" i="6"/>
  <c r="AT148" i="6"/>
  <c r="AT139" i="6"/>
  <c r="AT143" i="6"/>
  <c r="AD383" i="6"/>
  <c r="I269" i="6"/>
  <c r="H269" i="6" s="1"/>
  <c r="AV269" i="6" s="1"/>
  <c r="G189" i="6"/>
  <c r="AU182" i="6"/>
  <c r="AU50" i="6"/>
  <c r="G515" i="6"/>
  <c r="AF383" i="6"/>
  <c r="G433" i="6"/>
  <c r="G152" i="6"/>
  <c r="G408" i="6"/>
  <c r="AS50" i="6"/>
  <c r="AD494" i="6"/>
  <c r="AU266" i="6"/>
  <c r="I17" i="6"/>
  <c r="H17" i="6" s="1"/>
  <c r="G17" i="6" s="1"/>
  <c r="AU231" i="6"/>
  <c r="AV573" i="6"/>
  <c r="AT8" i="6"/>
  <c r="AV585" i="6"/>
  <c r="AV570" i="6"/>
  <c r="AT570" i="6"/>
  <c r="AT585" i="6"/>
  <c r="AT548" i="6"/>
  <c r="AV136" i="6"/>
  <c r="H421" i="6"/>
  <c r="G421" i="6" s="1"/>
  <c r="F275" i="6"/>
  <c r="AD168" i="6"/>
  <c r="AH4" i="6"/>
  <c r="H467" i="6"/>
  <c r="AV467" i="6" s="1"/>
  <c r="F217" i="6"/>
  <c r="F329" i="6"/>
  <c r="AF275" i="6"/>
  <c r="H270" i="6"/>
  <c r="G270" i="6" s="1"/>
  <c r="AU590" i="6"/>
  <c r="AF126" i="6"/>
  <c r="AV544" i="6"/>
  <c r="AT136" i="6"/>
  <c r="AU335" i="6"/>
  <c r="AV8" i="6"/>
  <c r="AV547" i="6"/>
  <c r="AE347" i="6"/>
  <c r="G413" i="6"/>
  <c r="G360" i="6"/>
  <c r="J555" i="6"/>
  <c r="H555" i="6" s="1"/>
  <c r="G555" i="6" s="1"/>
  <c r="H474" i="6"/>
  <c r="G474" i="6" s="1"/>
  <c r="G281" i="6"/>
  <c r="F5" i="6"/>
  <c r="AS5" i="6" s="1"/>
  <c r="AU87" i="6"/>
  <c r="F151" i="6"/>
  <c r="F37" i="6"/>
  <c r="AT56" i="6"/>
  <c r="S210" i="6"/>
  <c r="AS231" i="6"/>
  <c r="AS276" i="6"/>
  <c r="AE558" i="6"/>
  <c r="AT551" i="6"/>
  <c r="AT9" i="6"/>
  <c r="AS152" i="6"/>
  <c r="AU360" i="6"/>
  <c r="AU236" i="6"/>
  <c r="AV11" i="6"/>
  <c r="AD466" i="6"/>
  <c r="AU492" i="6"/>
  <c r="AE538" i="6"/>
  <c r="AE512" i="6"/>
  <c r="AV512" i="6"/>
  <c r="AE236" i="6"/>
  <c r="AV236" i="6"/>
  <c r="S473" i="6"/>
  <c r="AT473" i="6"/>
  <c r="S169" i="6"/>
  <c r="AS169" i="6"/>
  <c r="S182" i="6"/>
  <c r="AT182" i="6"/>
  <c r="S126" i="6"/>
  <c r="S146" i="6"/>
  <c r="U37" i="6"/>
  <c r="T37" i="6" s="1"/>
  <c r="S7" i="6"/>
  <c r="S530" i="6"/>
  <c r="AT530" i="6"/>
  <c r="S480" i="6"/>
  <c r="AT480" i="6"/>
  <c r="S453" i="6"/>
  <c r="AT453" i="6"/>
  <c r="S476" i="6"/>
  <c r="AT476" i="6"/>
  <c r="S394" i="6"/>
  <c r="AT394" i="6"/>
  <c r="S438" i="6"/>
  <c r="AT438" i="6"/>
  <c r="S352" i="6"/>
  <c r="AT352" i="6"/>
  <c r="S298" i="6"/>
  <c r="AS298" i="6"/>
  <c r="AT285" i="6"/>
  <c r="S382" i="6"/>
  <c r="AT382" i="6"/>
  <c r="S195" i="6"/>
  <c r="AT195" i="6"/>
  <c r="AS141" i="6"/>
  <c r="AT77" i="6"/>
  <c r="AT50" i="6"/>
  <c r="S114" i="6"/>
  <c r="AT114" i="6"/>
  <c r="S512" i="6"/>
  <c r="AT512" i="6"/>
  <c r="AE479" i="6"/>
  <c r="AE482" i="6"/>
  <c r="AV482" i="6"/>
  <c r="AE340" i="6"/>
  <c r="AV340" i="6"/>
  <c r="AE182" i="6"/>
  <c r="AV182" i="6"/>
  <c r="AV165" i="6"/>
  <c r="AU352" i="6"/>
  <c r="AV298" i="6"/>
  <c r="AV87" i="6"/>
  <c r="AE38" i="6"/>
  <c r="S488" i="6"/>
  <c r="AT488" i="6"/>
  <c r="AU130" i="6"/>
  <c r="S186" i="6"/>
  <c r="AT186" i="6"/>
  <c r="AV507" i="6"/>
  <c r="S306" i="6"/>
  <c r="AT306" i="6"/>
  <c r="AE528" i="6"/>
  <c r="AV528" i="6"/>
  <c r="AV495" i="6"/>
  <c r="AE458" i="6"/>
  <c r="AV458" i="6"/>
  <c r="AE77" i="6"/>
  <c r="AV77" i="6"/>
  <c r="AE50" i="6"/>
  <c r="AV50" i="6"/>
  <c r="AE259" i="6"/>
  <c r="AV259" i="6"/>
  <c r="AE305" i="6"/>
  <c r="AV363" i="6"/>
  <c r="AU141" i="6"/>
  <c r="AE61" i="6"/>
  <c r="AT507" i="6"/>
  <c r="AT288" i="6"/>
  <c r="AS56" i="6"/>
  <c r="AS488" i="6"/>
  <c r="AV480" i="6"/>
  <c r="AV382" i="6"/>
  <c r="AV375" i="6"/>
  <c r="AV348" i="6"/>
  <c r="AV586" i="6"/>
  <c r="AV582" i="6"/>
  <c r="AV483" i="6"/>
  <c r="AS312" i="6"/>
  <c r="AS479" i="6"/>
  <c r="AT245" i="6"/>
  <c r="AV557" i="6"/>
  <c r="AV504" i="6"/>
  <c r="AV477" i="6"/>
  <c r="AU458" i="6"/>
  <c r="AV439" i="6"/>
  <c r="AD238" i="6"/>
  <c r="AU239" i="6"/>
  <c r="AU106" i="6"/>
  <c r="AU77" i="6"/>
  <c r="AE43" i="6"/>
  <c r="AV43" i="6"/>
  <c r="AV270" i="6"/>
  <c r="AU118" i="6"/>
  <c r="AU43" i="6"/>
  <c r="AV546" i="6"/>
  <c r="AV273" i="6"/>
  <c r="AU175" i="6"/>
  <c r="AV156" i="6"/>
  <c r="AV148" i="6"/>
  <c r="AV133" i="6"/>
  <c r="AV122" i="6"/>
  <c r="AV62" i="6"/>
  <c r="AV138" i="6"/>
  <c r="AV134" i="6"/>
  <c r="AE438" i="6"/>
  <c r="AV438" i="6"/>
  <c r="R329" i="6"/>
  <c r="AS347" i="6"/>
  <c r="S266" i="6"/>
  <c r="AT266" i="6"/>
  <c r="AT273" i="6"/>
  <c r="S273" i="6"/>
  <c r="S156" i="6"/>
  <c r="AT156" i="6"/>
  <c r="S147" i="6"/>
  <c r="S41" i="6"/>
  <c r="AT41" i="6"/>
  <c r="S413" i="6"/>
  <c r="AT413" i="6"/>
  <c r="S555" i="6"/>
  <c r="S446" i="6"/>
  <c r="AT446" i="6"/>
  <c r="AT458" i="6"/>
  <c r="S389" i="6"/>
  <c r="AT389" i="6"/>
  <c r="S281" i="6"/>
  <c r="AT281" i="6"/>
  <c r="AT533" i="6"/>
  <c r="S483" i="6"/>
  <c r="AT483" i="6"/>
  <c r="S426" i="6"/>
  <c r="AT426" i="6"/>
  <c r="S335" i="6"/>
  <c r="S360" i="6"/>
  <c r="AT360" i="6"/>
  <c r="S363" i="6"/>
  <c r="AT363" i="6"/>
  <c r="AT71" i="6"/>
  <c r="S101" i="6"/>
  <c r="AT101" i="6"/>
  <c r="S43" i="6"/>
  <c r="AT43" i="6"/>
  <c r="R383" i="6"/>
  <c r="AS384" i="6"/>
  <c r="S376" i="6"/>
  <c r="AT376" i="6"/>
  <c r="S110" i="6"/>
  <c r="AT110" i="6"/>
  <c r="S87" i="6"/>
  <c r="AT87" i="6"/>
  <c r="AT276" i="6"/>
  <c r="AT80" i="6"/>
  <c r="AE476" i="6"/>
  <c r="AV476" i="6"/>
  <c r="AE594" i="6"/>
  <c r="AV446" i="6"/>
  <c r="AU500" i="6"/>
  <c r="AU467" i="6"/>
  <c r="AV413" i="6"/>
  <c r="AE394" i="6"/>
  <c r="AV394" i="6"/>
  <c r="AE312" i="6"/>
  <c r="AV312" i="6"/>
  <c r="AE175" i="6"/>
  <c r="AV175" i="6"/>
  <c r="AV110" i="6"/>
  <c r="AE152" i="6"/>
  <c r="AV152" i="6"/>
  <c r="AV101" i="6"/>
  <c r="AV285" i="6"/>
  <c r="AD217" i="6"/>
  <c r="AU218" i="6"/>
  <c r="AE199" i="6"/>
  <c r="AV199" i="6"/>
  <c r="AE56" i="6"/>
  <c r="AV56" i="6"/>
  <c r="S433" i="6"/>
  <c r="AT433" i="6"/>
  <c r="S405" i="6"/>
  <c r="AT405" i="6"/>
  <c r="AT169" i="6"/>
  <c r="AT122" i="6"/>
  <c r="AT259" i="6"/>
  <c r="AV441" i="6"/>
  <c r="AV352" i="6"/>
  <c r="AV218" i="6"/>
  <c r="AE372" i="6"/>
  <c r="AE245" i="6"/>
  <c r="AV245" i="6"/>
  <c r="AU38" i="6"/>
  <c r="AD37" i="6"/>
  <c r="AE17" i="6"/>
  <c r="S557" i="6"/>
  <c r="AT557" i="6"/>
  <c r="AU515" i="6"/>
  <c r="AU495" i="6"/>
  <c r="AU472" i="6"/>
  <c r="AU394" i="6"/>
  <c r="AT575" i="6"/>
  <c r="AT298" i="6"/>
  <c r="AV493" i="6"/>
  <c r="AT582" i="6"/>
  <c r="AT566" i="6"/>
  <c r="S464" i="6"/>
  <c r="AT464" i="6"/>
  <c r="AU527" i="6"/>
  <c r="AV460" i="6"/>
  <c r="AU433" i="6"/>
  <c r="AV373" i="6"/>
  <c r="AT577" i="6"/>
  <c r="AV576" i="6"/>
  <c r="AV572" i="6"/>
  <c r="AV568" i="6"/>
  <c r="AU451" i="6"/>
  <c r="AU293" i="6"/>
  <c r="AV281" i="6"/>
  <c r="AU94" i="6"/>
  <c r="AU482" i="6"/>
  <c r="AU530" i="6"/>
  <c r="AV137" i="6"/>
  <c r="AU245" i="6"/>
  <c r="AV186" i="6"/>
  <c r="AU114" i="6"/>
  <c r="AV18" i="6"/>
  <c r="AU17" i="6"/>
  <c r="AE555" i="6"/>
  <c r="AE520" i="6"/>
  <c r="AU520" i="6"/>
  <c r="AE101" i="6"/>
  <c r="AU101" i="6"/>
  <c r="R275" i="6"/>
  <c r="AS308" i="6"/>
  <c r="S521" i="6"/>
  <c r="AT521" i="6"/>
  <c r="S155" i="6"/>
  <c r="AT155" i="6"/>
  <c r="S267" i="6"/>
  <c r="AT267" i="6"/>
  <c r="S163" i="6"/>
  <c r="AT163" i="6"/>
  <c r="S130" i="6"/>
  <c r="S17" i="6"/>
  <c r="S141" i="6"/>
  <c r="R514" i="6"/>
  <c r="AS520" i="6"/>
  <c r="R466" i="6"/>
  <c r="AS472" i="6"/>
  <c r="S504" i="6"/>
  <c r="AT504" i="6"/>
  <c r="S398" i="6"/>
  <c r="AT398" i="6"/>
  <c r="S495" i="6"/>
  <c r="AT495" i="6"/>
  <c r="S441" i="6"/>
  <c r="AT441" i="6"/>
  <c r="S372" i="6"/>
  <c r="S527" i="6"/>
  <c r="R407" i="6"/>
  <c r="AS421" i="6"/>
  <c r="AT199" i="6"/>
  <c r="S94" i="6"/>
  <c r="AT94" i="6"/>
  <c r="S122" i="6"/>
  <c r="AS122" i="6"/>
  <c r="AT236" i="6"/>
  <c r="AS61" i="6"/>
  <c r="S215" i="6"/>
  <c r="AT215" i="6"/>
  <c r="F532" i="6"/>
  <c r="AS538" i="6"/>
  <c r="AE595" i="6"/>
  <c r="AE421" i="6"/>
  <c r="AE405" i="6"/>
  <c r="AV405" i="6"/>
  <c r="AE169" i="6"/>
  <c r="AV169" i="6"/>
  <c r="AE146" i="6"/>
  <c r="AE118" i="6"/>
  <c r="AV118" i="6"/>
  <c r="AE106" i="6"/>
  <c r="AV106" i="6"/>
  <c r="AE293" i="6"/>
  <c r="AV293" i="6"/>
  <c r="AU281" i="6"/>
  <c r="AE193" i="6"/>
  <c r="AV193" i="6"/>
  <c r="AT500" i="6"/>
  <c r="S330" i="6"/>
  <c r="AT330" i="6"/>
  <c r="AE527" i="6"/>
  <c r="AE500" i="6"/>
  <c r="AV500" i="6"/>
  <c r="AE467" i="6"/>
  <c r="AE433" i="6"/>
  <c r="AV433" i="6"/>
  <c r="AT65" i="6"/>
  <c r="AV347" i="6"/>
  <c r="AV330" i="6"/>
  <c r="AV276" i="6"/>
  <c r="AE71" i="6"/>
  <c r="AV71" i="6"/>
  <c r="S595" i="6"/>
  <c r="AT348" i="6"/>
  <c r="AS114" i="6"/>
  <c r="AS352" i="6"/>
  <c r="AU555" i="6"/>
  <c r="AU538" i="6"/>
  <c r="AT460" i="6"/>
  <c r="AV579" i="6"/>
  <c r="AV575" i="6"/>
  <c r="AV571" i="6"/>
  <c r="AT312" i="6"/>
  <c r="S270" i="6"/>
  <c r="AT165" i="6"/>
  <c r="AT118" i="6"/>
  <c r="AV587" i="6"/>
  <c r="AV583" i="6"/>
  <c r="AV551" i="6"/>
  <c r="AV521" i="6"/>
  <c r="AU405" i="6"/>
  <c r="AU305" i="6"/>
  <c r="AV288" i="6"/>
  <c r="AT563" i="6"/>
  <c r="AV267" i="6"/>
  <c r="AV408" i="6"/>
  <c r="AV143" i="6"/>
  <c r="AV41" i="6"/>
  <c r="AU146" i="6"/>
  <c r="AU61" i="6"/>
  <c r="AE215" i="6"/>
  <c r="AV215" i="6"/>
  <c r="AE590" i="6"/>
  <c r="AV590" i="6"/>
  <c r="AE473" i="6"/>
  <c r="AV473" i="6"/>
  <c r="AD440" i="6"/>
  <c r="AU446" i="6"/>
  <c r="AE381" i="6"/>
  <c r="AV381" i="6"/>
  <c r="AD362" i="6"/>
  <c r="AU363" i="6"/>
  <c r="AF329" i="6"/>
  <c r="AE264" i="6"/>
  <c r="H238" i="6"/>
  <c r="AV238" i="6" s="1"/>
  <c r="AE360" i="6"/>
  <c r="AV360" i="6"/>
  <c r="AE530" i="6"/>
  <c r="AV530" i="6"/>
  <c r="AE464" i="6"/>
  <c r="AV464" i="6"/>
  <c r="AV492" i="6"/>
  <c r="S259" i="6"/>
  <c r="AS259" i="6"/>
  <c r="S591" i="6"/>
  <c r="AT591" i="6"/>
  <c r="T238" i="6"/>
  <c r="S62" i="6"/>
  <c r="S61" i="6" s="1"/>
  <c r="AT62" i="6"/>
  <c r="S131" i="6"/>
  <c r="AT131" i="6"/>
  <c r="S18" i="6"/>
  <c r="AT18" i="6"/>
  <c r="S142" i="6"/>
  <c r="AT142" i="6"/>
  <c r="S493" i="6"/>
  <c r="AT493" i="6"/>
  <c r="S477" i="6"/>
  <c r="AT477" i="6"/>
  <c r="S439" i="6"/>
  <c r="AT439" i="6"/>
  <c r="S361" i="6"/>
  <c r="AT361" i="6"/>
  <c r="S594" i="6"/>
  <c r="S528" i="6"/>
  <c r="AT528" i="6"/>
  <c r="S430" i="6"/>
  <c r="AT430" i="6"/>
  <c r="S422" i="6"/>
  <c r="AT422" i="6"/>
  <c r="S340" i="6"/>
  <c r="AT340" i="6"/>
  <c r="S302" i="6"/>
  <c r="AT302" i="6"/>
  <c r="AT231" i="6"/>
  <c r="S189" i="6"/>
  <c r="AT189" i="6"/>
  <c r="S515" i="6"/>
  <c r="AT515" i="6"/>
  <c r="S239" i="6"/>
  <c r="AT239" i="6"/>
  <c r="AT218" i="6"/>
  <c r="S193" i="6"/>
  <c r="AT193" i="6"/>
  <c r="S175" i="6"/>
  <c r="AT175" i="6"/>
  <c r="S118" i="6"/>
  <c r="AS118" i="6"/>
  <c r="S408" i="6"/>
  <c r="AT408" i="6"/>
  <c r="S152" i="6"/>
  <c r="AT152" i="6"/>
  <c r="S106" i="6"/>
  <c r="AT106" i="6"/>
  <c r="S216" i="6"/>
  <c r="AT216" i="6"/>
  <c r="AE472" i="6"/>
  <c r="AE451" i="6"/>
  <c r="AV451" i="6"/>
  <c r="AE398" i="6"/>
  <c r="AV398" i="6"/>
  <c r="AE533" i="6"/>
  <c r="AV533" i="6"/>
  <c r="AE488" i="6"/>
  <c r="AV488" i="6"/>
  <c r="AE413" i="6"/>
  <c r="AU413" i="6"/>
  <c r="AE408" i="6"/>
  <c r="AU408" i="6"/>
  <c r="AE389" i="6"/>
  <c r="AV389" i="6"/>
  <c r="AE302" i="6"/>
  <c r="AV302" i="6"/>
  <c r="AD151" i="6"/>
  <c r="AU165" i="6"/>
  <c r="AE141" i="6"/>
  <c r="AE114" i="6"/>
  <c r="AV114" i="6"/>
  <c r="AE186" i="6"/>
  <c r="AU186" i="6"/>
  <c r="AE155" i="6"/>
  <c r="AV155" i="6"/>
  <c r="AE122" i="6"/>
  <c r="AE231" i="6"/>
  <c r="AV231" i="6"/>
  <c r="AE239" i="6"/>
  <c r="AV239" i="6"/>
  <c r="AE189" i="6"/>
  <c r="AV189" i="6"/>
  <c r="AV80" i="6"/>
  <c r="AE65" i="6"/>
  <c r="AV65" i="6"/>
  <c r="S451" i="6"/>
  <c r="AT451" i="6"/>
  <c r="S492" i="6"/>
  <c r="AT492" i="6"/>
  <c r="S373" i="6"/>
  <c r="AT373" i="6"/>
  <c r="S305" i="6"/>
  <c r="AT308" i="6"/>
  <c r="AE335" i="6"/>
  <c r="AE160" i="6"/>
  <c r="AE308" i="6"/>
  <c r="AV308" i="6"/>
  <c r="AE94" i="6"/>
  <c r="AV94" i="6"/>
  <c r="AS288" i="6"/>
  <c r="AT579" i="6"/>
  <c r="AT571" i="6"/>
  <c r="AT475" i="6"/>
  <c r="AS458" i="6"/>
  <c r="R37" i="6"/>
  <c r="AU276" i="6"/>
  <c r="AT586" i="6"/>
  <c r="AS405" i="6"/>
  <c r="AS372" i="6"/>
  <c r="AV422" i="6"/>
  <c r="AU398" i="6"/>
  <c r="AT581" i="6"/>
  <c r="AT573" i="6"/>
  <c r="AT558" i="6"/>
  <c r="AT544" i="6"/>
  <c r="AS17" i="6"/>
  <c r="AU504" i="6"/>
  <c r="AU421" i="6"/>
  <c r="AU302" i="6"/>
  <c r="AV149" i="6"/>
  <c r="AV13" i="6"/>
  <c r="AD5" i="6"/>
  <c r="AU6" i="6"/>
  <c r="AU269" i="6"/>
  <c r="AV142" i="6"/>
  <c r="AU215" i="6"/>
  <c r="AV128" i="6"/>
  <c r="AV63" i="6"/>
  <c r="AT293" i="6"/>
  <c r="AU193" i="6"/>
  <c r="AV144" i="6"/>
  <c r="AV21" i="6"/>
  <c r="AF514" i="6"/>
  <c r="AE285" i="6"/>
  <c r="AD275" i="6"/>
  <c r="AE281" i="6"/>
  <c r="AM4" i="6"/>
  <c r="G56" i="6"/>
  <c r="F262" i="6"/>
  <c r="G495" i="6"/>
  <c r="AL4" i="6"/>
  <c r="AD407" i="6"/>
  <c r="G488" i="6"/>
  <c r="G504" i="6"/>
  <c r="G500" i="6"/>
  <c r="G266" i="6"/>
  <c r="G218" i="6"/>
  <c r="AF362" i="6"/>
  <c r="AE87" i="6"/>
  <c r="AK4" i="6"/>
  <c r="F407" i="6"/>
  <c r="AD532" i="6"/>
  <c r="AE492" i="6"/>
  <c r="AI4" i="6"/>
  <c r="T520" i="6"/>
  <c r="F383" i="6"/>
  <c r="AD329" i="6"/>
  <c r="AE298" i="6"/>
  <c r="Y407" i="6"/>
  <c r="Y4" i="6" s="1"/>
  <c r="Z4" i="6"/>
  <c r="S276" i="6"/>
  <c r="G71" i="6"/>
  <c r="G94" i="6"/>
  <c r="S65" i="6"/>
  <c r="AE110" i="6"/>
  <c r="G101" i="6"/>
  <c r="U86" i="6"/>
  <c r="S50" i="6"/>
  <c r="S71" i="6"/>
  <c r="S56" i="6"/>
  <c r="T275" i="6"/>
  <c r="R532" i="6"/>
  <c r="S285" i="6"/>
  <c r="R238" i="6"/>
  <c r="S231" i="6"/>
  <c r="S218" i="6"/>
  <c r="S199" i="6"/>
  <c r="S77" i="6"/>
  <c r="T494" i="6"/>
  <c r="S458" i="6"/>
  <c r="T440" i="6"/>
  <c r="T217" i="6"/>
  <c r="R86" i="6"/>
  <c r="T375" i="6"/>
  <c r="X362" i="6"/>
  <c r="T362" i="6" s="1"/>
  <c r="T381" i="6"/>
  <c r="S80" i="6"/>
  <c r="AE368" i="6"/>
  <c r="AD514" i="6"/>
  <c r="AE363" i="6"/>
  <c r="AC86" i="6"/>
  <c r="AC4" i="6" s="1"/>
  <c r="U514" i="6"/>
  <c r="T514" i="6" s="1"/>
  <c r="P264" i="6"/>
  <c r="AG532" i="6"/>
  <c r="AF532" i="6" s="1"/>
  <c r="F86" i="6"/>
  <c r="R217" i="6"/>
  <c r="S236" i="6"/>
  <c r="V168" i="6"/>
  <c r="T168" i="6" s="1"/>
  <c r="F362" i="6"/>
  <c r="AE80" i="6"/>
  <c r="G458" i="6"/>
  <c r="T425" i="6"/>
  <c r="W407" i="6"/>
  <c r="T421" i="6"/>
  <c r="AA4" i="6"/>
  <c r="J594" i="6"/>
  <c r="H594" i="6" s="1"/>
  <c r="G594" i="6" s="1"/>
  <c r="H595" i="6"/>
  <c r="G595" i="6" s="1"/>
  <c r="AE165" i="6"/>
  <c r="G65" i="6"/>
  <c r="AE218" i="6"/>
  <c r="T538" i="6"/>
  <c r="V532" i="6"/>
  <c r="V466" i="6"/>
  <c r="T472" i="6"/>
  <c r="S533" i="6"/>
  <c r="T347" i="6"/>
  <c r="U383" i="6"/>
  <c r="T383" i="6" s="1"/>
  <c r="T384" i="6"/>
  <c r="R168" i="6"/>
  <c r="AS168" i="6" s="1"/>
  <c r="S269" i="6"/>
  <c r="V151" i="6"/>
  <c r="T28" i="6"/>
  <c r="S28" i="6" s="1"/>
  <c r="U23" i="6"/>
  <c r="T23" i="6" s="1"/>
  <c r="S23" i="6" s="1"/>
  <c r="U466" i="6"/>
  <c r="T467" i="6"/>
  <c r="AB264" i="6"/>
  <c r="S165" i="6"/>
  <c r="U532" i="6"/>
  <c r="T532" i="6" s="1"/>
  <c r="T590" i="6"/>
  <c r="S308" i="6"/>
  <c r="R151" i="6"/>
  <c r="T38" i="6"/>
  <c r="T479" i="6"/>
  <c r="S245" i="6"/>
  <c r="S160" i="6"/>
  <c r="U5" i="6"/>
  <c r="T6" i="6"/>
  <c r="AO4" i="6"/>
  <c r="L466" i="6"/>
  <c r="H383" i="6"/>
  <c r="N4" i="6"/>
  <c r="AF466" i="6"/>
  <c r="O4" i="6"/>
  <c r="AF440" i="6"/>
  <c r="L362" i="6"/>
  <c r="H479" i="6"/>
  <c r="G479" i="6" s="1"/>
  <c r="H335" i="6"/>
  <c r="G335" i="6" s="1"/>
  <c r="AJ4" i="6"/>
  <c r="F514" i="6"/>
  <c r="H305" i="6"/>
  <c r="G305" i="6" s="1"/>
  <c r="I275" i="6"/>
  <c r="H275" i="6" s="1"/>
  <c r="H372" i="6"/>
  <c r="G372" i="6" s="1"/>
  <c r="H7" i="6"/>
  <c r="I6" i="6"/>
  <c r="H160" i="6"/>
  <c r="G160" i="6" s="1"/>
  <c r="AF130" i="6"/>
  <c r="AG86" i="6"/>
  <c r="AF86" i="6" s="1"/>
  <c r="I440" i="6"/>
  <c r="H440" i="6" s="1"/>
  <c r="J538" i="6"/>
  <c r="H540" i="6"/>
  <c r="G540" i="6" s="1"/>
  <c r="F494" i="6"/>
  <c r="F466" i="6"/>
  <c r="I532" i="6"/>
  <c r="AP4" i="6"/>
  <c r="H151" i="6"/>
  <c r="E35" i="6"/>
  <c r="E23" i="6" s="1"/>
  <c r="AQ4" i="6"/>
  <c r="T7" i="4"/>
  <c r="T8" i="4"/>
  <c r="S8" i="4" s="1"/>
  <c r="T9" i="4"/>
  <c r="S9" i="4" s="1"/>
  <c r="T10" i="4"/>
  <c r="S10" i="4" s="1"/>
  <c r="T11" i="4"/>
  <c r="S11" i="4" s="1"/>
  <c r="T12" i="4"/>
  <c r="S12" i="4" s="1"/>
  <c r="T13" i="4"/>
  <c r="S13" i="4" s="1"/>
  <c r="T14" i="4"/>
  <c r="S14" i="4" s="1"/>
  <c r="T15" i="4"/>
  <c r="S15" i="4" s="1"/>
  <c r="T20" i="4"/>
  <c r="S20" i="4" s="1"/>
  <c r="T39" i="4"/>
  <c r="T40" i="4"/>
  <c r="T44" i="4"/>
  <c r="S44" i="4" s="1"/>
  <c r="T45" i="4"/>
  <c r="S45" i="4" s="1"/>
  <c r="T46" i="4"/>
  <c r="T47" i="4"/>
  <c r="T48" i="4"/>
  <c r="S48" i="4" s="1"/>
  <c r="T49" i="4"/>
  <c r="S49" i="4" s="1"/>
  <c r="T51" i="4"/>
  <c r="S51" i="4" s="1"/>
  <c r="T52" i="4"/>
  <c r="S52" i="4" s="1"/>
  <c r="T53" i="4"/>
  <c r="T54" i="4"/>
  <c r="T55" i="4"/>
  <c r="T57" i="4"/>
  <c r="S57" i="4" s="1"/>
  <c r="T58" i="4"/>
  <c r="S58" i="4" s="1"/>
  <c r="T59" i="4"/>
  <c r="S59" i="4" s="1"/>
  <c r="T60" i="4"/>
  <c r="S60" i="4" s="1"/>
  <c r="T64" i="4"/>
  <c r="T66" i="4"/>
  <c r="S66" i="4" s="1"/>
  <c r="T67" i="4"/>
  <c r="S67" i="4" s="1"/>
  <c r="T68" i="4"/>
  <c r="S68" i="4" s="1"/>
  <c r="T69" i="4"/>
  <c r="S69" i="4" s="1"/>
  <c r="T70" i="4"/>
  <c r="T72" i="4"/>
  <c r="S72" i="4" s="1"/>
  <c r="T73" i="4"/>
  <c r="S73" i="4" s="1"/>
  <c r="T74" i="4"/>
  <c r="S74" i="4" s="1"/>
  <c r="T75" i="4"/>
  <c r="S75" i="4" s="1"/>
  <c r="T76" i="4"/>
  <c r="S76" i="4" s="1"/>
  <c r="T78" i="4"/>
  <c r="T79" i="4"/>
  <c r="T81" i="4"/>
  <c r="T82" i="4"/>
  <c r="T83" i="4"/>
  <c r="T84" i="4"/>
  <c r="S84" i="4" s="1"/>
  <c r="T85" i="4"/>
  <c r="S85" i="4" s="1"/>
  <c r="T88" i="4"/>
  <c r="T89" i="4"/>
  <c r="S89" i="4" s="1"/>
  <c r="T90" i="4"/>
  <c r="T91" i="4"/>
  <c r="T92" i="4"/>
  <c r="T93" i="4"/>
  <c r="T95" i="4"/>
  <c r="S95" i="4" s="1"/>
  <c r="T96" i="4"/>
  <c r="T97" i="4"/>
  <c r="T98" i="4"/>
  <c r="T99" i="4"/>
  <c r="T100" i="4"/>
  <c r="T102" i="4"/>
  <c r="T103" i="4"/>
  <c r="S103" i="4" s="1"/>
  <c r="T104" i="4"/>
  <c r="T105" i="4"/>
  <c r="T107" i="4"/>
  <c r="S107" i="4" s="1"/>
  <c r="T108" i="4"/>
  <c r="T109" i="4"/>
  <c r="T111" i="4"/>
  <c r="S111" i="4" s="1"/>
  <c r="T112" i="4"/>
  <c r="T113" i="4"/>
  <c r="T115" i="4"/>
  <c r="S115" i="4" s="1"/>
  <c r="T116" i="4"/>
  <c r="T117" i="4"/>
  <c r="T119" i="4"/>
  <c r="S119" i="4" s="1"/>
  <c r="T120" i="4"/>
  <c r="T121" i="4"/>
  <c r="T123" i="4"/>
  <c r="T124" i="4"/>
  <c r="T125" i="4"/>
  <c r="T127" i="4"/>
  <c r="T153" i="4"/>
  <c r="S153" i="4" s="1"/>
  <c r="T154" i="4"/>
  <c r="T156" i="4"/>
  <c r="S156" i="4" s="1"/>
  <c r="T157" i="4"/>
  <c r="S157" i="4" s="1"/>
  <c r="T158" i="4"/>
  <c r="S158" i="4" s="1"/>
  <c r="T159" i="4"/>
  <c r="S159" i="4" s="1"/>
  <c r="T161" i="4"/>
  <c r="S161" i="4" s="1"/>
  <c r="T162" i="4"/>
  <c r="S162" i="4" s="1"/>
  <c r="T163" i="4"/>
  <c r="S163" i="4" s="1"/>
  <c r="T164" i="4"/>
  <c r="T166" i="4"/>
  <c r="T167" i="4"/>
  <c r="T170" i="4"/>
  <c r="T171" i="4"/>
  <c r="S171" i="4" s="1"/>
  <c r="T172" i="4"/>
  <c r="T173" i="4"/>
  <c r="T174" i="4"/>
  <c r="T176" i="4"/>
  <c r="T177" i="4"/>
  <c r="T178" i="4"/>
  <c r="S178" i="4" s="1"/>
  <c r="T179" i="4"/>
  <c r="S179" i="4" s="1"/>
  <c r="T180" i="4"/>
  <c r="S180" i="4" s="1"/>
  <c r="T182" i="4"/>
  <c r="T183" i="4"/>
  <c r="T184" i="4"/>
  <c r="T186" i="4"/>
  <c r="T187" i="4"/>
  <c r="T189" i="4"/>
  <c r="T190" i="4"/>
  <c r="S190" i="4" s="1"/>
  <c r="T192" i="4"/>
  <c r="T193" i="4"/>
  <c r="T194" i="4"/>
  <c r="T195" i="4"/>
  <c r="S195" i="4" s="1"/>
  <c r="T196" i="4"/>
  <c r="S196" i="4" s="1"/>
  <c r="T198" i="4"/>
  <c r="T199" i="4"/>
  <c r="T200" i="4"/>
  <c r="T201" i="4"/>
  <c r="T202" i="4"/>
  <c r="T203" i="4"/>
  <c r="S203" i="4" s="1"/>
  <c r="T205" i="4"/>
  <c r="S205" i="4" s="1"/>
  <c r="T206" i="4"/>
  <c r="T207" i="4"/>
  <c r="T209" i="4"/>
  <c r="T212" i="4"/>
  <c r="S212" i="4" s="1"/>
  <c r="T213" i="4"/>
  <c r="S213" i="4" s="1"/>
  <c r="T214" i="4"/>
  <c r="T215" i="4"/>
  <c r="S215" i="4" s="1"/>
  <c r="T216" i="4"/>
  <c r="S216" i="4" s="1"/>
  <c r="T217" i="4"/>
  <c r="S217" i="4" s="1"/>
  <c r="T218" i="4"/>
  <c r="S218" i="4" s="1"/>
  <c r="T219" i="4"/>
  <c r="S219" i="4" s="1"/>
  <c r="T220" i="4"/>
  <c r="T221" i="4"/>
  <c r="T222" i="4"/>
  <c r="S222" i="4" s="1"/>
  <c r="T223" i="4"/>
  <c r="S223" i="4" s="1"/>
  <c r="T225" i="4"/>
  <c r="T226" i="4"/>
  <c r="T227" i="4"/>
  <c r="S227" i="4" s="1"/>
  <c r="T228" i="4"/>
  <c r="S228" i="4" s="1"/>
  <c r="T230" i="4"/>
  <c r="T233" i="4"/>
  <c r="T234" i="4"/>
  <c r="S234" i="4" s="1"/>
  <c r="T235" i="4"/>
  <c r="S235" i="4" s="1"/>
  <c r="T236" i="4"/>
  <c r="S236" i="4" s="1"/>
  <c r="T237" i="4"/>
  <c r="S237" i="4" s="1"/>
  <c r="T239" i="4"/>
  <c r="S239" i="4" s="1"/>
  <c r="T240" i="4"/>
  <c r="S240" i="4" s="1"/>
  <c r="T241" i="4"/>
  <c r="S241" i="4" s="1"/>
  <c r="T242" i="4"/>
  <c r="S242" i="4" s="1"/>
  <c r="T243" i="4"/>
  <c r="S243" i="4" s="1"/>
  <c r="T244" i="4"/>
  <c r="S244" i="4" s="1"/>
  <c r="T245" i="4"/>
  <c r="S245" i="4" s="1"/>
  <c r="T246" i="4"/>
  <c r="T247" i="4"/>
  <c r="S247" i="4" s="1"/>
  <c r="T248" i="4"/>
  <c r="S248" i="4" s="1"/>
  <c r="T250" i="4"/>
  <c r="T251" i="4"/>
  <c r="T253" i="4"/>
  <c r="S253" i="4" s="1"/>
  <c r="T254" i="4"/>
  <c r="T258" i="4"/>
  <c r="T261" i="4"/>
  <c r="T265" i="4"/>
  <c r="T267" i="4"/>
  <c r="S267" i="4" s="1"/>
  <c r="T270" i="4"/>
  <c r="T271" i="4"/>
  <c r="T272" i="4"/>
  <c r="T273" i="4"/>
  <c r="S273" i="4" s="1"/>
  <c r="T275" i="4"/>
  <c r="S275" i="4" s="1"/>
  <c r="T276" i="4"/>
  <c r="T277" i="4"/>
  <c r="T279" i="4"/>
  <c r="T280" i="4"/>
  <c r="T282" i="4"/>
  <c r="S282" i="4" s="1"/>
  <c r="T283" i="4"/>
  <c r="T284" i="4"/>
  <c r="T285" i="4"/>
  <c r="S285" i="4" s="1"/>
  <c r="T287" i="4"/>
  <c r="S287" i="4" s="1"/>
  <c r="T288" i="4"/>
  <c r="S288" i="4" s="1"/>
  <c r="T289" i="4"/>
  <c r="S289" i="4" s="1"/>
  <c r="T290" i="4"/>
  <c r="S290" i="4" s="1"/>
  <c r="T292" i="4"/>
  <c r="T293" i="4"/>
  <c r="T294" i="4"/>
  <c r="S294" i="4" s="1"/>
  <c r="T296" i="4"/>
  <c r="T297" i="4"/>
  <c r="T299" i="4"/>
  <c r="T300" i="4"/>
  <c r="T302" i="4"/>
  <c r="T303" i="4"/>
  <c r="T304" i="4"/>
  <c r="T306" i="4"/>
  <c r="T307" i="4"/>
  <c r="T308" i="4"/>
  <c r="T309" i="4"/>
  <c r="T310" i="4"/>
  <c r="T311" i="4"/>
  <c r="S311" i="4" s="1"/>
  <c r="T312" i="4"/>
  <c r="S312" i="4" s="1"/>
  <c r="T313" i="4"/>
  <c r="S313" i="4" s="1"/>
  <c r="T314" i="4"/>
  <c r="S314" i="4" s="1"/>
  <c r="T315" i="4"/>
  <c r="S315" i="4" s="1"/>
  <c r="T316" i="4"/>
  <c r="S316" i="4" s="1"/>
  <c r="T317" i="4"/>
  <c r="S317" i="4" s="1"/>
  <c r="T318" i="4"/>
  <c r="S318" i="4" s="1"/>
  <c r="T319" i="4"/>
  <c r="S319" i="4" s="1"/>
  <c r="T320" i="4"/>
  <c r="S320" i="4" s="1"/>
  <c r="T321" i="4"/>
  <c r="S321" i="4" s="1"/>
  <c r="T322" i="4"/>
  <c r="S322" i="4" s="1"/>
  <c r="T323" i="4"/>
  <c r="S323" i="4" s="1"/>
  <c r="T326" i="4"/>
  <c r="T327" i="4"/>
  <c r="S327" i="4" s="1"/>
  <c r="T328" i="4"/>
  <c r="T329" i="4"/>
  <c r="S329" i="4" s="1"/>
  <c r="T331" i="4"/>
  <c r="S331" i="4" s="1"/>
  <c r="T332" i="4"/>
  <c r="S332" i="4" s="1"/>
  <c r="T333" i="4"/>
  <c r="T334" i="4"/>
  <c r="T336" i="4"/>
  <c r="T337" i="4"/>
  <c r="S337" i="4" s="1"/>
  <c r="T338" i="4"/>
  <c r="T339" i="4"/>
  <c r="T340" i="4"/>
  <c r="T341" i="4"/>
  <c r="T343" i="4"/>
  <c r="S343" i="4" s="1"/>
  <c r="T344" i="4"/>
  <c r="T345" i="4"/>
  <c r="T346" i="4"/>
  <c r="T348" i="4"/>
  <c r="T349" i="4"/>
  <c r="T350" i="4"/>
  <c r="S350" i="4" s="1"/>
  <c r="T351" i="4"/>
  <c r="T352" i="4"/>
  <c r="T353" i="4"/>
  <c r="T354" i="4"/>
  <c r="T356" i="4"/>
  <c r="T359" i="4"/>
  <c r="T360" i="4"/>
  <c r="T361" i="4"/>
  <c r="T362" i="4"/>
  <c r="T364" i="4"/>
  <c r="T365" i="4"/>
  <c r="T366" i="4"/>
  <c r="T368" i="4"/>
  <c r="S368" i="4" s="1"/>
  <c r="T369" i="4"/>
  <c r="T371" i="4"/>
  <c r="S371" i="4" s="1"/>
  <c r="T372" i="4"/>
  <c r="T374" i="4"/>
  <c r="S374" i="4" s="1"/>
  <c r="T376" i="4"/>
  <c r="T379" i="4"/>
  <c r="T380" i="4"/>
  <c r="T381" i="4"/>
  <c r="T384" i="4"/>
  <c r="T385" i="4"/>
  <c r="S385" i="4" s="1"/>
  <c r="T386" i="4"/>
  <c r="T387" i="4"/>
  <c r="T389" i="4"/>
  <c r="T390" i="4"/>
  <c r="S390" i="4" s="1"/>
  <c r="T391" i="4"/>
  <c r="S391" i="4" s="1"/>
  <c r="T393" i="4"/>
  <c r="S393" i="4" s="1"/>
  <c r="T394" i="4"/>
  <c r="T395" i="4"/>
  <c r="T396" i="4"/>
  <c r="S396" i="4" s="1"/>
  <c r="T397" i="4"/>
  <c r="S397" i="4" s="1"/>
  <c r="T399" i="4"/>
  <c r="T402" i="4"/>
  <c r="T403" i="4"/>
  <c r="T404" i="4"/>
  <c r="S404" i="4" s="1"/>
  <c r="T405" i="4"/>
  <c r="S405" i="4" s="1"/>
  <c r="T407" i="4"/>
  <c r="T408" i="4"/>
  <c r="T409" i="4"/>
  <c r="T410" i="4"/>
  <c r="T411" i="4"/>
  <c r="T412" i="4"/>
  <c r="T413" i="4"/>
  <c r="S413" i="4" s="1"/>
  <c r="T415" i="4"/>
  <c r="S415" i="4" s="1"/>
  <c r="T416" i="4"/>
  <c r="T417" i="4"/>
  <c r="T419" i="4"/>
  <c r="T420" i="4"/>
  <c r="S420" i="4" s="1"/>
  <c r="T421" i="4"/>
  <c r="T422" i="4"/>
  <c r="T423" i="4"/>
  <c r="T424" i="4"/>
  <c r="T425" i="4"/>
  <c r="S425" i="4" s="1"/>
  <c r="T427" i="4"/>
  <c r="S427" i="4" s="1"/>
  <c r="T428" i="4"/>
  <c r="T429" i="4"/>
  <c r="T430" i="4"/>
  <c r="T432" i="4"/>
  <c r="T435" i="4"/>
  <c r="T436" i="4"/>
  <c r="S436" i="4" s="1"/>
  <c r="T437" i="4"/>
  <c r="S437" i="4" s="1"/>
  <c r="T438" i="4"/>
  <c r="S438" i="4" s="1"/>
  <c r="T440" i="4"/>
  <c r="T441" i="4"/>
  <c r="S441" i="4" s="1"/>
  <c r="T442" i="4"/>
  <c r="S442" i="4" s="1"/>
  <c r="T444" i="4"/>
  <c r="S444" i="4" s="1"/>
  <c r="T445" i="4"/>
  <c r="T446" i="4"/>
  <c r="S446" i="4" s="1"/>
  <c r="T448" i="4"/>
  <c r="S448" i="4" s="1"/>
  <c r="T449" i="4"/>
  <c r="T450" i="4"/>
  <c r="S450" i="4" s="1"/>
  <c r="T451" i="4"/>
  <c r="S451" i="4" s="1"/>
  <c r="T452" i="4"/>
  <c r="S452" i="4" s="1"/>
  <c r="T454" i="4"/>
  <c r="T457" i="4"/>
  <c r="T458" i="4"/>
  <c r="T459" i="4"/>
  <c r="T460" i="4"/>
  <c r="T464" i="4"/>
  <c r="S464" i="4" s="1"/>
  <c r="T466" i="4"/>
  <c r="S466" i="4" s="1"/>
  <c r="T467" i="4"/>
  <c r="T469" i="4"/>
  <c r="S469" i="4" s="1"/>
  <c r="T470" i="4"/>
  <c r="T472" i="4"/>
  <c r="S472" i="4" s="1"/>
  <c r="T473" i="4"/>
  <c r="S473" i="4" s="1"/>
  <c r="T474" i="4"/>
  <c r="S474" i="4" s="1"/>
  <c r="T475" i="4"/>
  <c r="S475" i="4" s="1"/>
  <c r="T476" i="4"/>
  <c r="T478" i="4"/>
  <c r="S478" i="4" s="1"/>
  <c r="T479" i="4"/>
  <c r="S479" i="4" s="1"/>
  <c r="T481" i="4"/>
  <c r="T484" i="4"/>
  <c r="T485" i="4"/>
  <c r="S485" i="4" s="1"/>
  <c r="T486" i="4"/>
  <c r="T487" i="4"/>
  <c r="S487" i="4" s="1"/>
  <c r="T489" i="4"/>
  <c r="T490" i="4"/>
  <c r="T491" i="4"/>
  <c r="T493" i="4"/>
  <c r="T494" i="4"/>
  <c r="T496" i="4"/>
  <c r="T497" i="4"/>
  <c r="T498" i="4"/>
  <c r="T499" i="4"/>
  <c r="T501" i="4"/>
  <c r="T504" i="4"/>
  <c r="S504" i="4" s="1"/>
  <c r="T505" i="4"/>
  <c r="S505" i="4" s="1"/>
  <c r="T506" i="4"/>
  <c r="T507" i="4"/>
  <c r="T510" i="4"/>
  <c r="T511" i="4"/>
  <c r="T513" i="4"/>
  <c r="T516" i="4"/>
  <c r="S516" i="4" s="1"/>
  <c r="T518" i="4"/>
  <c r="T521" i="4"/>
  <c r="T522" i="4"/>
  <c r="S522" i="4" s="1"/>
  <c r="T523" i="4"/>
  <c r="S523" i="4" s="1"/>
  <c r="T524" i="4"/>
  <c r="T540" i="4"/>
  <c r="S540" i="4" s="1"/>
  <c r="T542" i="4"/>
  <c r="S542" i="4" s="1"/>
  <c r="T544" i="4"/>
  <c r="S544" i="4" s="1"/>
  <c r="T548" i="4"/>
  <c r="S548" i="4" s="1"/>
  <c r="T549" i="4"/>
  <c r="S549" i="4" s="1"/>
  <c r="T550" i="4"/>
  <c r="S550" i="4" s="1"/>
  <c r="T573" i="4"/>
  <c r="T574" i="4"/>
  <c r="S574" i="4" s="1"/>
  <c r="T577" i="4"/>
  <c r="T578" i="4"/>
  <c r="S182" i="4"/>
  <c r="S214" i="4"/>
  <c r="AS362" i="6" l="1"/>
  <c r="I37" i="6"/>
  <c r="H37" i="6" s="1"/>
  <c r="AU262" i="6"/>
  <c r="H362" i="6"/>
  <c r="AU532" i="6"/>
  <c r="H329" i="6"/>
  <c r="AD126" i="6"/>
  <c r="AE126" i="6" s="1"/>
  <c r="AT482" i="6"/>
  <c r="H126" i="6"/>
  <c r="G126" i="6" s="1"/>
  <c r="AT269" i="6"/>
  <c r="I514" i="6"/>
  <c r="AU5" i="6"/>
  <c r="AE329" i="6"/>
  <c r="AV384" i="6"/>
  <c r="AS217" i="6"/>
  <c r="AT147" i="6"/>
  <c r="AV61" i="6"/>
  <c r="AU217" i="6"/>
  <c r="AV425" i="6"/>
  <c r="H38" i="6"/>
  <c r="G38" i="6" s="1"/>
  <c r="J514" i="6"/>
  <c r="AS275" i="6"/>
  <c r="AU383" i="6"/>
  <c r="G275" i="6"/>
  <c r="AV266" i="6"/>
  <c r="AU168" i="6"/>
  <c r="AF262" i="6"/>
  <c r="AE262" i="6" s="1"/>
  <c r="G494" i="6"/>
  <c r="G269" i="6"/>
  <c r="AE128" i="6"/>
  <c r="AV494" i="6"/>
  <c r="AV141" i="6"/>
  <c r="AT17" i="6"/>
  <c r="AV17" i="6"/>
  <c r="I86" i="6"/>
  <c r="H86" i="6" s="1"/>
  <c r="AV86" i="6" s="1"/>
  <c r="G151" i="6"/>
  <c r="G146" i="6"/>
  <c r="AS151" i="6"/>
  <c r="AT146" i="6"/>
  <c r="G141" i="6"/>
  <c r="G168" i="6"/>
  <c r="AS532" i="6"/>
  <c r="AV474" i="6"/>
  <c r="AU440" i="6"/>
  <c r="AV555" i="6"/>
  <c r="AT555" i="6"/>
  <c r="AT128" i="6"/>
  <c r="H407" i="6"/>
  <c r="G407" i="6" s="1"/>
  <c r="G329" i="6"/>
  <c r="G440" i="6"/>
  <c r="AU329" i="6"/>
  <c r="AS329" i="6"/>
  <c r="AE494" i="6"/>
  <c r="AE151" i="6"/>
  <c r="G37" i="6"/>
  <c r="G217" i="6"/>
  <c r="AE168" i="6"/>
  <c r="J466" i="6"/>
  <c r="H466" i="6" s="1"/>
  <c r="H472" i="6"/>
  <c r="AT472" i="6" s="1"/>
  <c r="AE37" i="6"/>
  <c r="AF263" i="6"/>
  <c r="AE263" i="6" s="1"/>
  <c r="G467" i="6"/>
  <c r="T407" i="6"/>
  <c r="AS37" i="6"/>
  <c r="AV421" i="6"/>
  <c r="AU37" i="6"/>
  <c r="AE362" i="6"/>
  <c r="G238" i="6"/>
  <c r="AT270" i="6"/>
  <c r="AE383" i="6"/>
  <c r="AV217" i="6"/>
  <c r="AT217" i="6"/>
  <c r="AU238" i="6"/>
  <c r="AE514" i="6"/>
  <c r="H130" i="6"/>
  <c r="G130" i="6" s="1"/>
  <c r="X4" i="6"/>
  <c r="AU151" i="6"/>
  <c r="AV147" i="6"/>
  <c r="AT474" i="6"/>
  <c r="AT238" i="6"/>
  <c r="G383" i="6"/>
  <c r="S538" i="6"/>
  <c r="AS86" i="6"/>
  <c r="S238" i="6"/>
  <c r="AS238" i="6"/>
  <c r="AT594" i="6"/>
  <c r="AT527" i="6"/>
  <c r="AS494" i="6"/>
  <c r="AS514" i="6"/>
  <c r="AT335" i="6"/>
  <c r="AT160" i="6"/>
  <c r="AE217" i="6"/>
  <c r="AV151" i="6"/>
  <c r="AE5" i="6"/>
  <c r="AE238" i="6"/>
  <c r="G7" i="6"/>
  <c r="AV7" i="6"/>
  <c r="AE466" i="6"/>
  <c r="S6" i="6"/>
  <c r="S479" i="6"/>
  <c r="AT479" i="6"/>
  <c r="S384" i="6"/>
  <c r="AT384" i="6"/>
  <c r="S472" i="6"/>
  <c r="S425" i="6"/>
  <c r="AT425" i="6"/>
  <c r="S381" i="6"/>
  <c r="AT381" i="6"/>
  <c r="S494" i="6"/>
  <c r="AT494" i="6"/>
  <c r="S329" i="6"/>
  <c r="AT329" i="6"/>
  <c r="S520" i="6"/>
  <c r="AT520" i="6"/>
  <c r="AV362" i="6"/>
  <c r="AV160" i="6"/>
  <c r="AU362" i="6"/>
  <c r="AV595" i="6"/>
  <c r="AV594" i="6"/>
  <c r="AV305" i="6"/>
  <c r="AV383" i="6"/>
  <c r="AV168" i="6"/>
  <c r="AE130" i="6"/>
  <c r="S38" i="6"/>
  <c r="S590" i="6"/>
  <c r="AT590" i="6"/>
  <c r="S467" i="6"/>
  <c r="AT467" i="6"/>
  <c r="S383" i="6"/>
  <c r="AT383" i="6"/>
  <c r="AT168" i="6"/>
  <c r="AU514" i="6"/>
  <c r="S362" i="6"/>
  <c r="AT362" i="6"/>
  <c r="AT305" i="6"/>
  <c r="AV527" i="6"/>
  <c r="AT372" i="6"/>
  <c r="AS466" i="6"/>
  <c r="AS383" i="6"/>
  <c r="AU466" i="6"/>
  <c r="AU494" i="6"/>
  <c r="AE440" i="6"/>
  <c r="AV440" i="6"/>
  <c r="AT37" i="6"/>
  <c r="S532" i="6"/>
  <c r="S347" i="6"/>
  <c r="AT347" i="6"/>
  <c r="S421" i="6"/>
  <c r="AT421" i="6"/>
  <c r="S514" i="6"/>
  <c r="S375" i="6"/>
  <c r="AT375" i="6"/>
  <c r="S440" i="6"/>
  <c r="AT440" i="6"/>
  <c r="S275" i="6"/>
  <c r="AT275" i="6"/>
  <c r="AE407" i="6"/>
  <c r="AU407" i="6"/>
  <c r="AE275" i="6"/>
  <c r="AU275" i="6"/>
  <c r="AV335" i="6"/>
  <c r="AV329" i="6"/>
  <c r="AT595" i="6"/>
  <c r="AS407" i="6"/>
  <c r="AV520" i="6"/>
  <c r="AV372" i="6"/>
  <c r="AV479" i="6"/>
  <c r="AT7" i="6"/>
  <c r="AV37" i="6"/>
  <c r="AV275" i="6"/>
  <c r="AE532" i="6"/>
  <c r="AD86" i="6"/>
  <c r="G362" i="6"/>
  <c r="W4" i="6"/>
  <c r="R263" i="6"/>
  <c r="P263" i="6"/>
  <c r="P262" i="6" s="1"/>
  <c r="P4" i="6" s="1"/>
  <c r="I264" i="6"/>
  <c r="S217" i="6"/>
  <c r="S37" i="6"/>
  <c r="S168" i="6"/>
  <c r="T86" i="6"/>
  <c r="T5" i="6"/>
  <c r="T466" i="6"/>
  <c r="AB263" i="6"/>
  <c r="AB262" i="6" s="1"/>
  <c r="AB4" i="6" s="1"/>
  <c r="U264" i="6"/>
  <c r="V4" i="6"/>
  <c r="T151" i="6"/>
  <c r="L4" i="6"/>
  <c r="AR4" i="6"/>
  <c r="I5" i="6"/>
  <c r="H6" i="6"/>
  <c r="AT6" i="6" s="1"/>
  <c r="J532" i="6"/>
  <c r="H538" i="6"/>
  <c r="AT538" i="6" s="1"/>
  <c r="AG4" i="6"/>
  <c r="AF4" i="6" s="1"/>
  <c r="F4" i="6"/>
  <c r="R207" i="4"/>
  <c r="S207" i="4" s="1"/>
  <c r="R277" i="4"/>
  <c r="S277" i="4" s="1"/>
  <c r="V151" i="4"/>
  <c r="V519" i="4"/>
  <c r="V455" i="4"/>
  <c r="V168" i="4"/>
  <c r="R150" i="4"/>
  <c r="Z291" i="4"/>
  <c r="V211" i="4"/>
  <c r="V152" i="4"/>
  <c r="R7" i="4"/>
  <c r="S7" i="4" s="1"/>
  <c r="AU126" i="6" l="1"/>
  <c r="AV126" i="6"/>
  <c r="AT126" i="6"/>
  <c r="H514" i="6"/>
  <c r="G514" i="6" s="1"/>
  <c r="AV38" i="6"/>
  <c r="AT38" i="6"/>
  <c r="J4" i="6"/>
  <c r="AT514" i="6"/>
  <c r="AT407" i="6"/>
  <c r="G86" i="6"/>
  <c r="S407" i="6"/>
  <c r="AV407" i="6"/>
  <c r="AV466" i="6"/>
  <c r="G466" i="6"/>
  <c r="G472" i="6"/>
  <c r="AV472" i="6"/>
  <c r="AV130" i="6"/>
  <c r="AT130" i="6"/>
  <c r="S5" i="6"/>
  <c r="R262" i="6"/>
  <c r="AS263" i="6"/>
  <c r="S86" i="6"/>
  <c r="AT86" i="6"/>
  <c r="G538" i="6"/>
  <c r="AV538" i="6"/>
  <c r="G6" i="6"/>
  <c r="AV6" i="6"/>
  <c r="S151" i="6"/>
  <c r="AT151" i="6"/>
  <c r="S466" i="6"/>
  <c r="AT466" i="6"/>
  <c r="AD4" i="6"/>
  <c r="AU4" i="6" s="1"/>
  <c r="AU86" i="6"/>
  <c r="AE86" i="6"/>
  <c r="H264" i="6"/>
  <c r="I263" i="6"/>
  <c r="T264" i="6"/>
  <c r="U263" i="6"/>
  <c r="H532" i="6"/>
  <c r="H5" i="6"/>
  <c r="AT5" i="6" s="1"/>
  <c r="V262" i="4"/>
  <c r="W262" i="4"/>
  <c r="X262" i="4"/>
  <c r="Y262" i="4"/>
  <c r="Z262" i="4"/>
  <c r="AA262" i="4"/>
  <c r="AB262" i="4"/>
  <c r="AC262" i="4"/>
  <c r="R233" i="4"/>
  <c r="S233" i="4" s="1"/>
  <c r="V197" i="4"/>
  <c r="W197" i="4"/>
  <c r="X197" i="4"/>
  <c r="Y197" i="4"/>
  <c r="Z197" i="4"/>
  <c r="AA197" i="4"/>
  <c r="AB197" i="4"/>
  <c r="AC197" i="4"/>
  <c r="U197" i="4"/>
  <c r="R170" i="4"/>
  <c r="S170" i="4" s="1"/>
  <c r="V80" i="4"/>
  <c r="W80" i="4"/>
  <c r="X80" i="4"/>
  <c r="Y80" i="4"/>
  <c r="Z80" i="4"/>
  <c r="AA80" i="4"/>
  <c r="AB80" i="4"/>
  <c r="AC80" i="4"/>
  <c r="U80" i="4"/>
  <c r="R81" i="4"/>
  <c r="R82" i="4"/>
  <c r="S82" i="4" s="1"/>
  <c r="R83" i="4"/>
  <c r="S83" i="4" s="1"/>
  <c r="R513" i="4"/>
  <c r="S513" i="4" s="1"/>
  <c r="V447" i="4"/>
  <c r="W447" i="4"/>
  <c r="X447" i="4"/>
  <c r="Y447" i="4"/>
  <c r="Z447" i="4"/>
  <c r="AA447" i="4"/>
  <c r="AB447" i="4"/>
  <c r="AC447" i="4"/>
  <c r="U447" i="4"/>
  <c r="R419" i="4"/>
  <c r="S419" i="4" s="1"/>
  <c r="R310" i="4"/>
  <c r="S310" i="4" s="1"/>
  <c r="AV514" i="6" l="1"/>
  <c r="T197" i="4"/>
  <c r="AE4" i="6"/>
  <c r="T447" i="4"/>
  <c r="R80" i="4"/>
  <c r="S81" i="4"/>
  <c r="G532" i="6"/>
  <c r="AT532" i="6"/>
  <c r="AV532" i="6"/>
  <c r="G264" i="6"/>
  <c r="AV264" i="6"/>
  <c r="R4" i="6"/>
  <c r="AS4" i="6" s="1"/>
  <c r="AS262" i="6"/>
  <c r="S264" i="6"/>
  <c r="AT264" i="6"/>
  <c r="T80" i="4"/>
  <c r="G5" i="6"/>
  <c r="AV5" i="6"/>
  <c r="H263" i="6"/>
  <c r="I262" i="6"/>
  <c r="T263" i="6"/>
  <c r="U262" i="6"/>
  <c r="R16" i="4"/>
  <c r="S263" i="6" l="1"/>
  <c r="AT263" i="6"/>
  <c r="S80" i="4"/>
  <c r="G263" i="6"/>
  <c r="AV263" i="6"/>
  <c r="H262" i="6"/>
  <c r="I4" i="6"/>
  <c r="H4" i="6" s="1"/>
  <c r="T262" i="6"/>
  <c r="U4" i="6"/>
  <c r="T4" i="6" s="1"/>
  <c r="Z6" i="4"/>
  <c r="U579" i="4"/>
  <c r="U576" i="4"/>
  <c r="U541" i="4"/>
  <c r="U525" i="4"/>
  <c r="U520" i="4"/>
  <c r="U517" i="4"/>
  <c r="U515" i="4"/>
  <c r="U512" i="4"/>
  <c r="U508" i="4"/>
  <c r="U503" i="4"/>
  <c r="U500" i="4"/>
  <c r="U495" i="4"/>
  <c r="U492" i="4"/>
  <c r="U488" i="4"/>
  <c r="U483" i="4"/>
  <c r="U480" i="4"/>
  <c r="U477" i="4"/>
  <c r="U471" i="4"/>
  <c r="U468" i="4"/>
  <c r="U465" i="4"/>
  <c r="U461" i="4"/>
  <c r="U456" i="4"/>
  <c r="U453" i="4"/>
  <c r="U443" i="4"/>
  <c r="U439" i="4"/>
  <c r="U434" i="4"/>
  <c r="U431" i="4"/>
  <c r="U426" i="4"/>
  <c r="U418" i="4"/>
  <c r="U414" i="4"/>
  <c r="U406" i="4"/>
  <c r="U401" i="4"/>
  <c r="U398" i="4"/>
  <c r="U392" i="4"/>
  <c r="U388" i="4"/>
  <c r="U383" i="4"/>
  <c r="U382" i="4"/>
  <c r="U375" i="4"/>
  <c r="U373" i="4"/>
  <c r="U370" i="4"/>
  <c r="U367" i="4"/>
  <c r="U363" i="4"/>
  <c r="U358" i="4"/>
  <c r="U355" i="4"/>
  <c r="U347" i="4"/>
  <c r="U342" i="4"/>
  <c r="U335" i="4"/>
  <c r="U330" i="4"/>
  <c r="U325" i="4"/>
  <c r="U305" i="4"/>
  <c r="U301" i="4"/>
  <c r="U298" i="4"/>
  <c r="U295" i="4"/>
  <c r="U291" i="4"/>
  <c r="U286" i="4"/>
  <c r="U281" i="4"/>
  <c r="U278" i="4"/>
  <c r="U274" i="4"/>
  <c r="U269" i="4"/>
  <c r="U266" i="4"/>
  <c r="T266" i="4" s="1"/>
  <c r="S266" i="4" s="1"/>
  <c r="U264" i="4"/>
  <c r="T264" i="4" s="1"/>
  <c r="S264" i="4" s="1"/>
  <c r="U263" i="4"/>
  <c r="T263" i="4" s="1"/>
  <c r="S263" i="4" s="1"/>
  <c r="U260" i="4"/>
  <c r="U252" i="4"/>
  <c r="U249" i="4"/>
  <c r="U238" i="4"/>
  <c r="U232" i="4"/>
  <c r="U229" i="4"/>
  <c r="U224" i="4"/>
  <c r="U211" i="4"/>
  <c r="U208" i="4"/>
  <c r="U204" i="4"/>
  <c r="U191" i="4"/>
  <c r="U188" i="4"/>
  <c r="U185" i="4"/>
  <c r="U181" i="4"/>
  <c r="U175" i="4"/>
  <c r="U169" i="4"/>
  <c r="U165" i="4"/>
  <c r="U160" i="4"/>
  <c r="U155" i="4"/>
  <c r="U152" i="4"/>
  <c r="U150" i="4"/>
  <c r="T150" i="4" s="1"/>
  <c r="S150" i="4" s="1"/>
  <c r="U149" i="4"/>
  <c r="T149" i="4" s="1"/>
  <c r="S149" i="4" s="1"/>
  <c r="U148" i="4"/>
  <c r="T148" i="4" s="1"/>
  <c r="U147" i="4"/>
  <c r="T147" i="4" s="1"/>
  <c r="S147" i="4" s="1"/>
  <c r="U145" i="4"/>
  <c r="T145" i="4" s="1"/>
  <c r="U144" i="4"/>
  <c r="T144" i="4" s="1"/>
  <c r="U143" i="4"/>
  <c r="T143" i="4" s="1"/>
  <c r="U142" i="4"/>
  <c r="T142" i="4" s="1"/>
  <c r="U140" i="4"/>
  <c r="T140" i="4" s="1"/>
  <c r="U139" i="4"/>
  <c r="T139" i="4" s="1"/>
  <c r="U138" i="4"/>
  <c r="T138" i="4" s="1"/>
  <c r="U137" i="4"/>
  <c r="T137" i="4" s="1"/>
  <c r="U136" i="4"/>
  <c r="T136" i="4" s="1"/>
  <c r="U135" i="4"/>
  <c r="T135" i="4" s="1"/>
  <c r="U134" i="4"/>
  <c r="T134" i="4" s="1"/>
  <c r="U133" i="4"/>
  <c r="T133" i="4" s="1"/>
  <c r="U132" i="4"/>
  <c r="T132" i="4" s="1"/>
  <c r="U131" i="4"/>
  <c r="T131" i="4" s="1"/>
  <c r="U126" i="4"/>
  <c r="U122" i="4"/>
  <c r="U118" i="4"/>
  <c r="U114" i="4"/>
  <c r="U110" i="4"/>
  <c r="U106" i="4"/>
  <c r="U101" i="4"/>
  <c r="U94" i="4"/>
  <c r="U87" i="4"/>
  <c r="U77" i="4"/>
  <c r="U71" i="4"/>
  <c r="U65" i="4"/>
  <c r="U63" i="4"/>
  <c r="T63" i="4" s="1"/>
  <c r="U62" i="4"/>
  <c r="T62" i="4" s="1"/>
  <c r="U56" i="4"/>
  <c r="U50" i="4"/>
  <c r="U43" i="4"/>
  <c r="U42" i="4"/>
  <c r="T42" i="4" s="1"/>
  <c r="U41" i="4"/>
  <c r="T41" i="4" s="1"/>
  <c r="S41" i="4" s="1"/>
  <c r="U36" i="4"/>
  <c r="T36" i="4" s="1"/>
  <c r="S36" i="4" s="1"/>
  <c r="U35" i="4"/>
  <c r="T35" i="4" s="1"/>
  <c r="S35" i="4" s="1"/>
  <c r="U33" i="4"/>
  <c r="T33" i="4" s="1"/>
  <c r="S33" i="4" s="1"/>
  <c r="U32" i="4"/>
  <c r="T32" i="4" s="1"/>
  <c r="S32" i="4" s="1"/>
  <c r="U30" i="4"/>
  <c r="T30" i="4" s="1"/>
  <c r="S30" i="4" s="1"/>
  <c r="U29" i="4"/>
  <c r="T29" i="4" s="1"/>
  <c r="S29" i="4" s="1"/>
  <c r="U27" i="4"/>
  <c r="T27" i="4" s="1"/>
  <c r="S27" i="4" s="1"/>
  <c r="U26" i="4"/>
  <c r="T26" i="4" s="1"/>
  <c r="S26" i="4" s="1"/>
  <c r="U25" i="4"/>
  <c r="T25" i="4" s="1"/>
  <c r="S25" i="4" s="1"/>
  <c r="U22" i="4"/>
  <c r="T22" i="4" s="1"/>
  <c r="U21" i="4"/>
  <c r="T21" i="4" s="1"/>
  <c r="U19" i="4"/>
  <c r="T19" i="4" s="1"/>
  <c r="S19" i="4" s="1"/>
  <c r="U18" i="4"/>
  <c r="T18" i="4" s="1"/>
  <c r="S18" i="4" s="1"/>
  <c r="U16" i="4"/>
  <c r="T16" i="4" s="1"/>
  <c r="S16" i="4" s="1"/>
  <c r="V483" i="4"/>
  <c r="R580" i="4"/>
  <c r="R579" i="4" s="1"/>
  <c r="R578" i="4"/>
  <c r="S578" i="4" s="1"/>
  <c r="R577" i="4"/>
  <c r="S577" i="4" s="1"/>
  <c r="R576" i="4"/>
  <c r="R573" i="4"/>
  <c r="S573" i="4" s="1"/>
  <c r="R572" i="4"/>
  <c r="R571" i="4"/>
  <c r="R570" i="4"/>
  <c r="R569" i="4"/>
  <c r="R568" i="4"/>
  <c r="R567" i="4"/>
  <c r="R566" i="4"/>
  <c r="R564" i="4"/>
  <c r="R563" i="4"/>
  <c r="R562" i="4"/>
  <c r="R561" i="4"/>
  <c r="R560" i="4"/>
  <c r="R559" i="4"/>
  <c r="R558" i="4"/>
  <c r="R557" i="4"/>
  <c r="R556" i="4"/>
  <c r="R555" i="4"/>
  <c r="R554" i="4"/>
  <c r="R553" i="4"/>
  <c r="R547" i="4"/>
  <c r="R545" i="4"/>
  <c r="R543" i="4"/>
  <c r="R539" i="4"/>
  <c r="R538" i="4"/>
  <c r="R537" i="4"/>
  <c r="R536" i="4"/>
  <c r="R535" i="4"/>
  <c r="R534" i="4"/>
  <c r="R533" i="4"/>
  <c r="R532" i="4"/>
  <c r="R531" i="4"/>
  <c r="R530" i="4"/>
  <c r="R529" i="4"/>
  <c r="R528" i="4"/>
  <c r="R527" i="4"/>
  <c r="R526" i="4"/>
  <c r="R524" i="4"/>
  <c r="S524" i="4" s="1"/>
  <c r="R521" i="4"/>
  <c r="S521" i="4" s="1"/>
  <c r="R518" i="4"/>
  <c r="S518" i="4" s="1"/>
  <c r="R515" i="4"/>
  <c r="R511" i="4"/>
  <c r="S511" i="4" s="1"/>
  <c r="R510" i="4"/>
  <c r="S510" i="4" s="1"/>
  <c r="R507" i="4"/>
  <c r="S507" i="4" s="1"/>
  <c r="R506" i="4"/>
  <c r="S506" i="4" s="1"/>
  <c r="R501" i="4"/>
  <c r="S501" i="4" s="1"/>
  <c r="R499" i="4"/>
  <c r="S499" i="4" s="1"/>
  <c r="R498" i="4"/>
  <c r="S498" i="4" s="1"/>
  <c r="R497" i="4"/>
  <c r="S497" i="4" s="1"/>
  <c r="R496" i="4"/>
  <c r="S496" i="4" s="1"/>
  <c r="R494" i="4"/>
  <c r="S494" i="4" s="1"/>
  <c r="R493" i="4"/>
  <c r="S493" i="4" s="1"/>
  <c r="R491" i="4"/>
  <c r="S491" i="4" s="1"/>
  <c r="R490" i="4"/>
  <c r="S490" i="4" s="1"/>
  <c r="R489" i="4"/>
  <c r="S489" i="4" s="1"/>
  <c r="R486" i="4"/>
  <c r="S486" i="4" s="1"/>
  <c r="R484" i="4"/>
  <c r="S484" i="4" s="1"/>
  <c r="R481" i="4"/>
  <c r="S481" i="4" s="1"/>
  <c r="R476" i="4"/>
  <c r="S476" i="4" s="1"/>
  <c r="R470" i="4"/>
  <c r="S470" i="4" s="1"/>
  <c r="R467" i="4"/>
  <c r="S467" i="4" s="1"/>
  <c r="R463" i="4"/>
  <c r="R460" i="4"/>
  <c r="S460" i="4" s="1"/>
  <c r="R459" i="4"/>
  <c r="S459" i="4" s="1"/>
  <c r="R458" i="4"/>
  <c r="S458" i="4" s="1"/>
  <c r="R457" i="4"/>
  <c r="S457" i="4" s="1"/>
  <c r="R454" i="4"/>
  <c r="S454" i="4" s="1"/>
  <c r="R449" i="4"/>
  <c r="R445" i="4"/>
  <c r="S445" i="4" s="1"/>
  <c r="R440" i="4"/>
  <c r="S440" i="4" s="1"/>
  <c r="R435" i="4"/>
  <c r="S435" i="4" s="1"/>
  <c r="R432" i="4"/>
  <c r="S432" i="4" s="1"/>
  <c r="R430" i="4"/>
  <c r="S430" i="4" s="1"/>
  <c r="R429" i="4"/>
  <c r="S429" i="4" s="1"/>
  <c r="R428" i="4"/>
  <c r="S428" i="4" s="1"/>
  <c r="R424" i="4"/>
  <c r="S424" i="4" s="1"/>
  <c r="R423" i="4"/>
  <c r="S423" i="4" s="1"/>
  <c r="R422" i="4"/>
  <c r="S422" i="4" s="1"/>
  <c r="R421" i="4"/>
  <c r="S421" i="4" s="1"/>
  <c r="R417" i="4"/>
  <c r="S417" i="4" s="1"/>
  <c r="R416" i="4"/>
  <c r="S416" i="4" s="1"/>
  <c r="R412" i="4"/>
  <c r="S412" i="4" s="1"/>
  <c r="R411" i="4"/>
  <c r="S411" i="4" s="1"/>
  <c r="R410" i="4"/>
  <c r="S410" i="4" s="1"/>
  <c r="R409" i="4"/>
  <c r="S409" i="4" s="1"/>
  <c r="R408" i="4"/>
  <c r="S408" i="4" s="1"/>
  <c r="R407" i="4"/>
  <c r="S407" i="4" s="1"/>
  <c r="R403" i="4"/>
  <c r="S403" i="4" s="1"/>
  <c r="R402" i="4"/>
  <c r="S402" i="4" s="1"/>
  <c r="R399" i="4"/>
  <c r="S399" i="4" s="1"/>
  <c r="R395" i="4"/>
  <c r="S395" i="4" s="1"/>
  <c r="R394" i="4"/>
  <c r="S394" i="4" s="1"/>
  <c r="R389" i="4"/>
  <c r="S389" i="4" s="1"/>
  <c r="R387" i="4"/>
  <c r="S387" i="4" s="1"/>
  <c r="R386" i="4"/>
  <c r="S386" i="4" s="1"/>
  <c r="R384" i="4"/>
  <c r="S384" i="4" s="1"/>
  <c r="R381" i="4"/>
  <c r="S381" i="4" s="1"/>
  <c r="R380" i="4"/>
  <c r="S380" i="4" s="1"/>
  <c r="R379" i="4"/>
  <c r="S379" i="4" s="1"/>
  <c r="R376" i="4"/>
  <c r="S376" i="4" s="1"/>
  <c r="R373" i="4"/>
  <c r="R372" i="4"/>
  <c r="S372" i="4" s="1"/>
  <c r="R369" i="4"/>
  <c r="S369" i="4" s="1"/>
  <c r="R366" i="4"/>
  <c r="S366" i="4" s="1"/>
  <c r="R365" i="4"/>
  <c r="S365" i="4" s="1"/>
  <c r="R364" i="4"/>
  <c r="S364" i="4" s="1"/>
  <c r="R362" i="4"/>
  <c r="S362" i="4" s="1"/>
  <c r="R361" i="4"/>
  <c r="S361" i="4" s="1"/>
  <c r="R360" i="4"/>
  <c r="S360" i="4" s="1"/>
  <c r="R359" i="4"/>
  <c r="S359" i="4" s="1"/>
  <c r="R356" i="4"/>
  <c r="R354" i="4"/>
  <c r="S354" i="4" s="1"/>
  <c r="R353" i="4"/>
  <c r="S353" i="4" s="1"/>
  <c r="R352" i="4"/>
  <c r="S352" i="4" s="1"/>
  <c r="R351" i="4"/>
  <c r="S351" i="4" s="1"/>
  <c r="R349" i="4"/>
  <c r="S349" i="4" s="1"/>
  <c r="R348" i="4"/>
  <c r="S348" i="4" s="1"/>
  <c r="R346" i="4"/>
  <c r="S346" i="4" s="1"/>
  <c r="R345" i="4"/>
  <c r="S345" i="4" s="1"/>
  <c r="R344" i="4"/>
  <c r="S344" i="4" s="1"/>
  <c r="R341" i="4"/>
  <c r="S341" i="4" s="1"/>
  <c r="R340" i="4"/>
  <c r="S340" i="4" s="1"/>
  <c r="R339" i="4"/>
  <c r="S339" i="4" s="1"/>
  <c r="R338" i="4"/>
  <c r="S338" i="4" s="1"/>
  <c r="R336" i="4"/>
  <c r="S336" i="4" s="1"/>
  <c r="R334" i="4"/>
  <c r="S334" i="4" s="1"/>
  <c r="R333" i="4"/>
  <c r="S333" i="4" s="1"/>
  <c r="R328" i="4"/>
  <c r="S328" i="4" s="1"/>
  <c r="R326" i="4"/>
  <c r="S326" i="4" s="1"/>
  <c r="R309" i="4"/>
  <c r="S309" i="4" s="1"/>
  <c r="R308" i="4"/>
  <c r="S308" i="4" s="1"/>
  <c r="R307" i="4"/>
  <c r="S307" i="4" s="1"/>
  <c r="R306" i="4"/>
  <c r="S306" i="4" s="1"/>
  <c r="R304" i="4"/>
  <c r="S304" i="4" s="1"/>
  <c r="R303" i="4"/>
  <c r="S303" i="4" s="1"/>
  <c r="R302" i="4"/>
  <c r="S302" i="4" s="1"/>
  <c r="R300" i="4"/>
  <c r="S300" i="4" s="1"/>
  <c r="R299" i="4"/>
  <c r="S299" i="4" s="1"/>
  <c r="R297" i="4"/>
  <c r="S297" i="4" s="1"/>
  <c r="R296" i="4"/>
  <c r="S296" i="4" s="1"/>
  <c r="R293" i="4"/>
  <c r="S293" i="4" s="1"/>
  <c r="R292" i="4"/>
  <c r="S292" i="4" s="1"/>
  <c r="R284" i="4"/>
  <c r="S284" i="4" s="1"/>
  <c r="R283" i="4"/>
  <c r="S283" i="4" s="1"/>
  <c r="R280" i="4"/>
  <c r="S280" i="4" s="1"/>
  <c r="R279" i="4"/>
  <c r="S279" i="4" s="1"/>
  <c r="R276" i="4"/>
  <c r="S276" i="4" s="1"/>
  <c r="R272" i="4"/>
  <c r="S272" i="4" s="1"/>
  <c r="R271" i="4"/>
  <c r="S271" i="4" s="1"/>
  <c r="R270" i="4"/>
  <c r="S270" i="4" s="1"/>
  <c r="R265" i="4"/>
  <c r="R261" i="4"/>
  <c r="S261" i="4" s="1"/>
  <c r="R258" i="4"/>
  <c r="S258" i="4" s="1"/>
  <c r="R254" i="4"/>
  <c r="S254" i="4" s="1"/>
  <c r="R251" i="4"/>
  <c r="S251" i="4" s="1"/>
  <c r="R250" i="4"/>
  <c r="S250" i="4" s="1"/>
  <c r="R246" i="4"/>
  <c r="S246" i="4" s="1"/>
  <c r="R230" i="4"/>
  <c r="S230" i="4" s="1"/>
  <c r="R226" i="4"/>
  <c r="S226" i="4" s="1"/>
  <c r="R225" i="4"/>
  <c r="S225" i="4" s="1"/>
  <c r="R221" i="4"/>
  <c r="S221" i="4" s="1"/>
  <c r="R220" i="4"/>
  <c r="S220" i="4" s="1"/>
  <c r="R209" i="4"/>
  <c r="S209" i="4" s="1"/>
  <c r="R206" i="4"/>
  <c r="S206" i="4" s="1"/>
  <c r="R202" i="4"/>
  <c r="S202" i="4" s="1"/>
  <c r="R201" i="4"/>
  <c r="S201" i="4" s="1"/>
  <c r="R200" i="4"/>
  <c r="S200" i="4" s="1"/>
  <c r="R199" i="4"/>
  <c r="S199" i="4" s="1"/>
  <c r="R198" i="4"/>
  <c r="S198" i="4" s="1"/>
  <c r="R194" i="4"/>
  <c r="S194" i="4" s="1"/>
  <c r="R193" i="4"/>
  <c r="S193" i="4" s="1"/>
  <c r="R192" i="4"/>
  <c r="S192" i="4" s="1"/>
  <c r="R189" i="4"/>
  <c r="S189" i="4" s="1"/>
  <c r="R187" i="4"/>
  <c r="S187" i="4" s="1"/>
  <c r="R186" i="4"/>
  <c r="S186" i="4" s="1"/>
  <c r="R184" i="4"/>
  <c r="S184" i="4" s="1"/>
  <c r="R183" i="4"/>
  <c r="S183" i="4" s="1"/>
  <c r="R177" i="4"/>
  <c r="S177" i="4" s="1"/>
  <c r="R176" i="4"/>
  <c r="S176" i="4" s="1"/>
  <c r="R174" i="4"/>
  <c r="S174" i="4" s="1"/>
  <c r="R173" i="4"/>
  <c r="S173" i="4" s="1"/>
  <c r="R172" i="4"/>
  <c r="S172" i="4" s="1"/>
  <c r="R167" i="4"/>
  <c r="S167" i="4" s="1"/>
  <c r="R166" i="4"/>
  <c r="S166" i="4" s="1"/>
  <c r="R164" i="4"/>
  <c r="S164" i="4" s="1"/>
  <c r="R154" i="4"/>
  <c r="S154" i="4" s="1"/>
  <c r="R148" i="4"/>
  <c r="R145" i="4"/>
  <c r="R144" i="4"/>
  <c r="R143" i="4"/>
  <c r="R142" i="4"/>
  <c r="R140" i="4"/>
  <c r="R139" i="4"/>
  <c r="R138" i="4"/>
  <c r="R137" i="4"/>
  <c r="R136" i="4"/>
  <c r="R135" i="4"/>
  <c r="R134" i="4"/>
  <c r="R133" i="4"/>
  <c r="R132" i="4"/>
  <c r="R131" i="4"/>
  <c r="R127" i="4"/>
  <c r="S127" i="4" s="1"/>
  <c r="R125" i="4"/>
  <c r="S125" i="4" s="1"/>
  <c r="R124" i="4"/>
  <c r="S124" i="4" s="1"/>
  <c r="R123" i="4"/>
  <c r="S123" i="4" s="1"/>
  <c r="R121" i="4"/>
  <c r="S121" i="4" s="1"/>
  <c r="R120" i="4"/>
  <c r="S120" i="4" s="1"/>
  <c r="R117" i="4"/>
  <c r="S117" i="4" s="1"/>
  <c r="R116" i="4"/>
  <c r="S116" i="4" s="1"/>
  <c r="R113" i="4"/>
  <c r="S113" i="4" s="1"/>
  <c r="R112" i="4"/>
  <c r="S112" i="4" s="1"/>
  <c r="R109" i="4"/>
  <c r="S109" i="4" s="1"/>
  <c r="R108" i="4"/>
  <c r="S108" i="4" s="1"/>
  <c r="R105" i="4"/>
  <c r="S105" i="4" s="1"/>
  <c r="R104" i="4"/>
  <c r="S104" i="4" s="1"/>
  <c r="R102" i="4"/>
  <c r="S102" i="4" s="1"/>
  <c r="R100" i="4"/>
  <c r="S100" i="4" s="1"/>
  <c r="R99" i="4"/>
  <c r="S99" i="4" s="1"/>
  <c r="R98" i="4"/>
  <c r="S98" i="4" s="1"/>
  <c r="R97" i="4"/>
  <c r="S97" i="4" s="1"/>
  <c r="R96" i="4"/>
  <c r="S96" i="4" s="1"/>
  <c r="R93" i="4"/>
  <c r="S93" i="4" s="1"/>
  <c r="R92" i="4"/>
  <c r="S92" i="4" s="1"/>
  <c r="R91" i="4"/>
  <c r="S91" i="4" s="1"/>
  <c r="R90" i="4"/>
  <c r="S90" i="4" s="1"/>
  <c r="R88" i="4"/>
  <c r="S88" i="4" s="1"/>
  <c r="R79" i="4"/>
  <c r="S79" i="4" s="1"/>
  <c r="R78" i="4"/>
  <c r="S78" i="4" s="1"/>
  <c r="R70" i="4"/>
  <c r="S70" i="4" s="1"/>
  <c r="R64" i="4"/>
  <c r="S64" i="4" s="1"/>
  <c r="R63" i="4"/>
  <c r="R62" i="4"/>
  <c r="R55" i="4"/>
  <c r="S55" i="4" s="1"/>
  <c r="R54" i="4"/>
  <c r="S54" i="4" s="1"/>
  <c r="R53" i="4"/>
  <c r="S53" i="4" s="1"/>
  <c r="R47" i="4"/>
  <c r="S47" i="4" s="1"/>
  <c r="R46" i="4"/>
  <c r="S46" i="4" s="1"/>
  <c r="R42" i="4"/>
  <c r="R40" i="4"/>
  <c r="S40" i="4" s="1"/>
  <c r="R39" i="4"/>
  <c r="S39" i="4" s="1"/>
  <c r="R34" i="4"/>
  <c r="R31" i="4"/>
  <c r="R28" i="4"/>
  <c r="R24" i="4"/>
  <c r="R22" i="4"/>
  <c r="R21" i="4"/>
  <c r="Q6" i="4"/>
  <c r="Q17" i="4"/>
  <c r="Q24" i="4"/>
  <c r="Q28" i="4"/>
  <c r="Q31" i="4"/>
  <c r="Q34" i="4"/>
  <c r="Q38" i="4"/>
  <c r="Q43" i="4"/>
  <c r="Q50" i="4"/>
  <c r="Q56" i="4"/>
  <c r="Q61" i="4"/>
  <c r="Q65" i="4"/>
  <c r="Q71" i="4"/>
  <c r="Q77" i="4"/>
  <c r="Q80" i="4"/>
  <c r="Q87" i="4"/>
  <c r="Q94" i="4"/>
  <c r="Q101" i="4"/>
  <c r="Q106" i="4"/>
  <c r="Q110" i="4"/>
  <c r="Q114" i="4"/>
  <c r="Q118" i="4"/>
  <c r="Q122" i="4"/>
  <c r="Q130" i="4"/>
  <c r="Q141" i="4"/>
  <c r="Q146" i="4"/>
  <c r="Q152" i="4"/>
  <c r="Q155" i="4"/>
  <c r="Q160" i="4"/>
  <c r="Q165" i="4"/>
  <c r="Q169" i="4"/>
  <c r="Q175" i="4"/>
  <c r="Q181" i="4"/>
  <c r="Q185" i="4"/>
  <c r="Q188" i="4"/>
  <c r="Q191" i="4"/>
  <c r="Q197" i="4"/>
  <c r="Q204" i="4"/>
  <c r="Q208" i="4"/>
  <c r="Q211" i="4"/>
  <c r="Q224" i="4"/>
  <c r="Q229" i="4"/>
  <c r="Q232" i="4"/>
  <c r="Q238" i="4"/>
  <c r="Q249" i="4"/>
  <c r="Q252" i="4"/>
  <c r="Q256" i="4"/>
  <c r="Q259" i="4"/>
  <c r="Q262" i="4"/>
  <c r="Q269" i="4"/>
  <c r="Q274" i="4"/>
  <c r="Q278" i="4"/>
  <c r="Q281" i="4"/>
  <c r="Q286" i="4"/>
  <c r="Q291" i="4"/>
  <c r="Q295" i="4"/>
  <c r="Q298" i="4"/>
  <c r="Q301" i="4"/>
  <c r="Q305" i="4"/>
  <c r="Q325" i="4"/>
  <c r="Q330" i="4"/>
  <c r="Q335" i="4"/>
  <c r="Q342" i="4"/>
  <c r="Q347" i="4"/>
  <c r="Q355" i="4"/>
  <c r="Q358" i="4"/>
  <c r="Q363" i="4"/>
  <c r="Q367" i="4"/>
  <c r="Q370" i="4"/>
  <c r="Q373" i="4"/>
  <c r="Q375" i="4"/>
  <c r="Q378" i="4"/>
  <c r="Q383" i="4"/>
  <c r="Q388" i="4"/>
  <c r="Q392" i="4"/>
  <c r="Q398" i="4"/>
  <c r="Q401" i="4"/>
  <c r="Q406" i="4"/>
  <c r="Q414" i="4"/>
  <c r="Q418" i="4"/>
  <c r="Q426" i="4"/>
  <c r="Q431" i="4"/>
  <c r="Q434" i="4"/>
  <c r="Q439" i="4"/>
  <c r="Q443" i="4"/>
  <c r="Q447" i="4"/>
  <c r="Q453" i="4"/>
  <c r="Q456" i="4"/>
  <c r="Q461" i="4"/>
  <c r="Q465" i="4"/>
  <c r="Q468" i="4"/>
  <c r="Q471" i="4"/>
  <c r="Q477" i="4"/>
  <c r="Q480" i="4"/>
  <c r="Q483" i="4"/>
  <c r="Q488" i="4"/>
  <c r="Q492" i="4"/>
  <c r="Q495" i="4"/>
  <c r="Q500" i="4"/>
  <c r="Q503" i="4"/>
  <c r="Q508" i="4"/>
  <c r="Q512" i="4"/>
  <c r="Q514" i="4"/>
  <c r="Q517" i="4"/>
  <c r="Q520" i="4"/>
  <c r="Q525" i="4"/>
  <c r="Q541" i="4"/>
  <c r="Q575" i="4"/>
  <c r="Q579" i="4"/>
  <c r="V580" i="4"/>
  <c r="T580" i="4" s="1"/>
  <c r="S580" i="4" s="1"/>
  <c r="AC579" i="4"/>
  <c r="AB579" i="4"/>
  <c r="AA579" i="4"/>
  <c r="Z579" i="4"/>
  <c r="Y579" i="4"/>
  <c r="X579" i="4"/>
  <c r="W579" i="4"/>
  <c r="AC575" i="4"/>
  <c r="AB575" i="4"/>
  <c r="AA575" i="4"/>
  <c r="Z575" i="4"/>
  <c r="Y575" i="4"/>
  <c r="X575" i="4"/>
  <c r="W575" i="4"/>
  <c r="V575" i="4"/>
  <c r="V572" i="4"/>
  <c r="T572" i="4" s="1"/>
  <c r="S572" i="4" s="1"/>
  <c r="V571" i="4"/>
  <c r="T571" i="4" s="1"/>
  <c r="V570" i="4"/>
  <c r="T570" i="4" s="1"/>
  <c r="V569" i="4"/>
  <c r="T569" i="4" s="1"/>
  <c r="S569" i="4" s="1"/>
  <c r="V568" i="4"/>
  <c r="T568" i="4" s="1"/>
  <c r="S568" i="4" s="1"/>
  <c r="V567" i="4"/>
  <c r="T567" i="4" s="1"/>
  <c r="V566" i="4"/>
  <c r="T566" i="4" s="1"/>
  <c r="V565" i="4"/>
  <c r="T565" i="4" s="1"/>
  <c r="S565" i="4" s="1"/>
  <c r="V564" i="4"/>
  <c r="T564" i="4" s="1"/>
  <c r="S564" i="4" s="1"/>
  <c r="V563" i="4"/>
  <c r="T563" i="4" s="1"/>
  <c r="V562" i="4"/>
  <c r="T562" i="4" s="1"/>
  <c r="V561" i="4"/>
  <c r="T561" i="4" s="1"/>
  <c r="V560" i="4"/>
  <c r="T560" i="4" s="1"/>
  <c r="S560" i="4" s="1"/>
  <c r="V559" i="4"/>
  <c r="T559" i="4" s="1"/>
  <c r="V558" i="4"/>
  <c r="T558" i="4" s="1"/>
  <c r="S558" i="4" s="1"/>
  <c r="V557" i="4"/>
  <c r="T557" i="4" s="1"/>
  <c r="S557" i="4" s="1"/>
  <c r="V556" i="4"/>
  <c r="T556" i="4" s="1"/>
  <c r="S556" i="4" s="1"/>
  <c r="V555" i="4"/>
  <c r="T555" i="4" s="1"/>
  <c r="V554" i="4"/>
  <c r="T554" i="4" s="1"/>
  <c r="V553" i="4"/>
  <c r="T553" i="4" s="1"/>
  <c r="V552" i="4"/>
  <c r="T552" i="4" s="1"/>
  <c r="S552" i="4" s="1"/>
  <c r="V551" i="4"/>
  <c r="T551" i="4" s="1"/>
  <c r="S551" i="4" s="1"/>
  <c r="V547" i="4"/>
  <c r="T547" i="4" s="1"/>
  <c r="S547" i="4" s="1"/>
  <c r="V546" i="4"/>
  <c r="T546" i="4" s="1"/>
  <c r="S546" i="4" s="1"/>
  <c r="V545" i="4"/>
  <c r="T545" i="4" s="1"/>
  <c r="V543" i="4"/>
  <c r="T543" i="4" s="1"/>
  <c r="AC541" i="4"/>
  <c r="AB541" i="4"/>
  <c r="AA541" i="4"/>
  <c r="Z541" i="4"/>
  <c r="Y541" i="4"/>
  <c r="X541" i="4"/>
  <c r="W541" i="4"/>
  <c r="V539" i="4"/>
  <c r="T539" i="4" s="1"/>
  <c r="S539" i="4" s="1"/>
  <c r="V538" i="4"/>
  <c r="T538" i="4" s="1"/>
  <c r="S538" i="4" s="1"/>
  <c r="V537" i="4"/>
  <c r="T537" i="4" s="1"/>
  <c r="V536" i="4"/>
  <c r="T536" i="4" s="1"/>
  <c r="V535" i="4"/>
  <c r="T535" i="4" s="1"/>
  <c r="V534" i="4"/>
  <c r="T534" i="4" s="1"/>
  <c r="S534" i="4" s="1"/>
  <c r="V533" i="4"/>
  <c r="T533" i="4" s="1"/>
  <c r="V532" i="4"/>
  <c r="T532" i="4" s="1"/>
  <c r="V531" i="4"/>
  <c r="T531" i="4" s="1"/>
  <c r="V530" i="4"/>
  <c r="T530" i="4" s="1"/>
  <c r="S530" i="4" s="1"/>
  <c r="V529" i="4"/>
  <c r="T529" i="4" s="1"/>
  <c r="V528" i="4"/>
  <c r="T528" i="4" s="1"/>
  <c r="V527" i="4"/>
  <c r="T527" i="4" s="1"/>
  <c r="V526" i="4"/>
  <c r="T526" i="4" s="1"/>
  <c r="S526" i="4" s="1"/>
  <c r="AC525" i="4"/>
  <c r="AB525" i="4"/>
  <c r="AA525" i="4"/>
  <c r="Z525" i="4"/>
  <c r="Y525" i="4"/>
  <c r="X525" i="4"/>
  <c r="W525" i="4"/>
  <c r="AC520" i="4"/>
  <c r="AB520" i="4"/>
  <c r="AA520" i="4"/>
  <c r="Z520" i="4"/>
  <c r="Y520" i="4"/>
  <c r="X520" i="4"/>
  <c r="W520" i="4"/>
  <c r="V520" i="4"/>
  <c r="AC517" i="4"/>
  <c r="AB517" i="4"/>
  <c r="AA517" i="4"/>
  <c r="Z517" i="4"/>
  <c r="Y517" i="4"/>
  <c r="X517" i="4"/>
  <c r="W517" i="4"/>
  <c r="V517" i="4"/>
  <c r="AC514" i="4"/>
  <c r="AB514" i="4"/>
  <c r="AA514" i="4"/>
  <c r="Z514" i="4"/>
  <c r="Y514" i="4"/>
  <c r="X514" i="4"/>
  <c r="W514" i="4"/>
  <c r="V514" i="4"/>
  <c r="AC512" i="4"/>
  <c r="AB512" i="4"/>
  <c r="AA512" i="4"/>
  <c r="Z512" i="4"/>
  <c r="Y512" i="4"/>
  <c r="X512" i="4"/>
  <c r="W512" i="4"/>
  <c r="V512" i="4"/>
  <c r="V509" i="4"/>
  <c r="T509" i="4" s="1"/>
  <c r="S509" i="4" s="1"/>
  <c r="AC508" i="4"/>
  <c r="AB508" i="4"/>
  <c r="AA508" i="4"/>
  <c r="Z508" i="4"/>
  <c r="Y508" i="4"/>
  <c r="X508" i="4"/>
  <c r="W508" i="4"/>
  <c r="AC503" i="4"/>
  <c r="AB503" i="4"/>
  <c r="AA503" i="4"/>
  <c r="Z503" i="4"/>
  <c r="Y503" i="4"/>
  <c r="X503" i="4"/>
  <c r="W503" i="4"/>
  <c r="V503" i="4"/>
  <c r="AC500" i="4"/>
  <c r="AB500" i="4"/>
  <c r="AA500" i="4"/>
  <c r="Z500" i="4"/>
  <c r="Y500" i="4"/>
  <c r="X500" i="4"/>
  <c r="W500" i="4"/>
  <c r="V500" i="4"/>
  <c r="AC495" i="4"/>
  <c r="AB495" i="4"/>
  <c r="AA495" i="4"/>
  <c r="Z495" i="4"/>
  <c r="Y495" i="4"/>
  <c r="X495" i="4"/>
  <c r="W495" i="4"/>
  <c r="V495" i="4"/>
  <c r="AC492" i="4"/>
  <c r="AB492" i="4"/>
  <c r="AA492" i="4"/>
  <c r="Z492" i="4"/>
  <c r="Y492" i="4"/>
  <c r="X492" i="4"/>
  <c r="W492" i="4"/>
  <c r="V492" i="4"/>
  <c r="AC488" i="4"/>
  <c r="AB488" i="4"/>
  <c r="AA488" i="4"/>
  <c r="Z488" i="4"/>
  <c r="Y488" i="4"/>
  <c r="X488" i="4"/>
  <c r="W488" i="4"/>
  <c r="V488" i="4"/>
  <c r="AC483" i="4"/>
  <c r="AB483" i="4"/>
  <c r="AA483" i="4"/>
  <c r="Z483" i="4"/>
  <c r="Y483" i="4"/>
  <c r="X483" i="4"/>
  <c r="W483" i="4"/>
  <c r="X480" i="4"/>
  <c r="AC480" i="4"/>
  <c r="AB480" i="4"/>
  <c r="AA480" i="4"/>
  <c r="Z480" i="4"/>
  <c r="Y480" i="4"/>
  <c r="W480" i="4"/>
  <c r="V480" i="4"/>
  <c r="AC477" i="4"/>
  <c r="AB477" i="4"/>
  <c r="AA477" i="4"/>
  <c r="Z477" i="4"/>
  <c r="W477" i="4"/>
  <c r="V477" i="4"/>
  <c r="AC471" i="4"/>
  <c r="AB471" i="4"/>
  <c r="AA471" i="4"/>
  <c r="Z471" i="4"/>
  <c r="Y471" i="4"/>
  <c r="X471" i="4"/>
  <c r="W471" i="4"/>
  <c r="V471" i="4"/>
  <c r="X468" i="4"/>
  <c r="W468" i="4"/>
  <c r="AC468" i="4"/>
  <c r="AB468" i="4"/>
  <c r="AA468" i="4"/>
  <c r="Z468" i="4"/>
  <c r="Y468" i="4"/>
  <c r="V468" i="4"/>
  <c r="X465" i="4"/>
  <c r="W465" i="4"/>
  <c r="AC465" i="4"/>
  <c r="AB465" i="4"/>
  <c r="AA465" i="4"/>
  <c r="Z465" i="4"/>
  <c r="Y465" i="4"/>
  <c r="V465" i="4"/>
  <c r="V463" i="4"/>
  <c r="T463" i="4" s="1"/>
  <c r="V462" i="4"/>
  <c r="T462" i="4" s="1"/>
  <c r="S462" i="4" s="1"/>
  <c r="AC461" i="4"/>
  <c r="AB461" i="4"/>
  <c r="AA461" i="4"/>
  <c r="Z461" i="4"/>
  <c r="Y461" i="4"/>
  <c r="X461" i="4"/>
  <c r="W461" i="4"/>
  <c r="AC456" i="4"/>
  <c r="AB456" i="4"/>
  <c r="AA456" i="4"/>
  <c r="Z456" i="4"/>
  <c r="Y456" i="4"/>
  <c r="X456" i="4"/>
  <c r="W456" i="4"/>
  <c r="V456" i="4"/>
  <c r="AC453" i="4"/>
  <c r="AB453" i="4"/>
  <c r="AA453" i="4"/>
  <c r="Z453" i="4"/>
  <c r="Y453" i="4"/>
  <c r="X453" i="4"/>
  <c r="W453" i="4"/>
  <c r="V453" i="4"/>
  <c r="AC443" i="4"/>
  <c r="AB443" i="4"/>
  <c r="AA443" i="4"/>
  <c r="Z443" i="4"/>
  <c r="Y443" i="4"/>
  <c r="X443" i="4"/>
  <c r="W443" i="4"/>
  <c r="V443" i="4"/>
  <c r="AC439" i="4"/>
  <c r="AB439" i="4"/>
  <c r="AA439" i="4"/>
  <c r="Z439" i="4"/>
  <c r="Y439" i="4"/>
  <c r="X439" i="4"/>
  <c r="W439" i="4"/>
  <c r="V439" i="4"/>
  <c r="AC434" i="4"/>
  <c r="AB434" i="4"/>
  <c r="AA434" i="4"/>
  <c r="Z434" i="4"/>
  <c r="Y434" i="4"/>
  <c r="X434" i="4"/>
  <c r="W434" i="4"/>
  <c r="V434" i="4"/>
  <c r="Y431" i="4"/>
  <c r="AC431" i="4"/>
  <c r="AB431" i="4"/>
  <c r="AA431" i="4"/>
  <c r="Z431" i="4"/>
  <c r="X431" i="4"/>
  <c r="W431" i="4"/>
  <c r="V431" i="4"/>
  <c r="AC426" i="4"/>
  <c r="AB426" i="4"/>
  <c r="AA426" i="4"/>
  <c r="Z426" i="4"/>
  <c r="Y426" i="4"/>
  <c r="X426" i="4"/>
  <c r="W426" i="4"/>
  <c r="V426" i="4"/>
  <c r="W418" i="4"/>
  <c r="Y418" i="4"/>
  <c r="AC418" i="4"/>
  <c r="AB418" i="4"/>
  <c r="AA418" i="4"/>
  <c r="Z418" i="4"/>
  <c r="X418" i="4"/>
  <c r="V418" i="4"/>
  <c r="W414" i="4"/>
  <c r="AC414" i="4"/>
  <c r="AB414" i="4"/>
  <c r="AA414" i="4"/>
  <c r="Z414" i="4"/>
  <c r="Y414" i="4"/>
  <c r="X414" i="4"/>
  <c r="V414" i="4"/>
  <c r="AC406" i="4"/>
  <c r="AB406" i="4"/>
  <c r="AA406" i="4"/>
  <c r="Z406" i="4"/>
  <c r="Y406" i="4"/>
  <c r="X406" i="4"/>
  <c r="W406" i="4"/>
  <c r="V406" i="4"/>
  <c r="AC401" i="4"/>
  <c r="AB401" i="4"/>
  <c r="AA401" i="4"/>
  <c r="Z401" i="4"/>
  <c r="Y401" i="4"/>
  <c r="X401" i="4"/>
  <c r="W401" i="4"/>
  <c r="V401" i="4"/>
  <c r="AC398" i="4"/>
  <c r="AB398" i="4"/>
  <c r="AA398" i="4"/>
  <c r="Z398" i="4"/>
  <c r="X398" i="4"/>
  <c r="W398" i="4"/>
  <c r="V398" i="4"/>
  <c r="AC392" i="4"/>
  <c r="AB392" i="4"/>
  <c r="AA392" i="4"/>
  <c r="Z392" i="4"/>
  <c r="Y392" i="4"/>
  <c r="X392" i="4"/>
  <c r="W392" i="4"/>
  <c r="V392" i="4"/>
  <c r="AC388" i="4"/>
  <c r="AB388" i="4"/>
  <c r="AA388" i="4"/>
  <c r="Z388" i="4"/>
  <c r="Y388" i="4"/>
  <c r="X388" i="4"/>
  <c r="W388" i="4"/>
  <c r="V388" i="4"/>
  <c r="AC383" i="4"/>
  <c r="AB383" i="4"/>
  <c r="AA383" i="4"/>
  <c r="Z383" i="4"/>
  <c r="Y383" i="4"/>
  <c r="X383" i="4"/>
  <c r="W383" i="4"/>
  <c r="V383" i="4"/>
  <c r="AC378" i="4"/>
  <c r="AB378" i="4"/>
  <c r="AA378" i="4"/>
  <c r="Z378" i="4"/>
  <c r="Y378" i="4"/>
  <c r="X378" i="4"/>
  <c r="W378" i="4"/>
  <c r="W377" i="4" s="1"/>
  <c r="V378" i="4"/>
  <c r="X375" i="4"/>
  <c r="W375" i="4"/>
  <c r="AC375" i="4"/>
  <c r="AB375" i="4"/>
  <c r="AA375" i="4"/>
  <c r="Z375" i="4"/>
  <c r="Y375" i="4"/>
  <c r="V375" i="4"/>
  <c r="AC373" i="4"/>
  <c r="AB373" i="4"/>
  <c r="AA373" i="4"/>
  <c r="Z373" i="4"/>
  <c r="Y373" i="4"/>
  <c r="X373" i="4"/>
  <c r="W373" i="4"/>
  <c r="V373" i="4"/>
  <c r="X370" i="4"/>
  <c r="AC370" i="4"/>
  <c r="AB370" i="4"/>
  <c r="AA370" i="4"/>
  <c r="Z370" i="4"/>
  <c r="Y370" i="4"/>
  <c r="W370" i="4"/>
  <c r="V370" i="4"/>
  <c r="X367" i="4"/>
  <c r="W367" i="4"/>
  <c r="AC367" i="4"/>
  <c r="AB367" i="4"/>
  <c r="AA367" i="4"/>
  <c r="Z367" i="4"/>
  <c r="Y367" i="4"/>
  <c r="V367" i="4"/>
  <c r="AC363" i="4"/>
  <c r="AB363" i="4"/>
  <c r="AA363" i="4"/>
  <c r="Z363" i="4"/>
  <c r="Y363" i="4"/>
  <c r="X363" i="4"/>
  <c r="W363" i="4"/>
  <c r="V363" i="4"/>
  <c r="AC358" i="4"/>
  <c r="AB358" i="4"/>
  <c r="AA358" i="4"/>
  <c r="Z358" i="4"/>
  <c r="Y358" i="4"/>
  <c r="X358" i="4"/>
  <c r="W358" i="4"/>
  <c r="V358" i="4"/>
  <c r="X355" i="4"/>
  <c r="W355" i="4"/>
  <c r="AC355" i="4"/>
  <c r="AB355" i="4"/>
  <c r="AA355" i="4"/>
  <c r="Z355" i="4"/>
  <c r="Y355" i="4"/>
  <c r="V355" i="4"/>
  <c r="AC347" i="4"/>
  <c r="AB347" i="4"/>
  <c r="AA347" i="4"/>
  <c r="Z347" i="4"/>
  <c r="Y347" i="4"/>
  <c r="X347" i="4"/>
  <c r="W347" i="4"/>
  <c r="V347" i="4"/>
  <c r="X342" i="4"/>
  <c r="AC342" i="4"/>
  <c r="AB342" i="4"/>
  <c r="AA342" i="4"/>
  <c r="Z342" i="4"/>
  <c r="Y342" i="4"/>
  <c r="W342" i="4"/>
  <c r="V342" i="4"/>
  <c r="AC335" i="4"/>
  <c r="AB335" i="4"/>
  <c r="AA335" i="4"/>
  <c r="Z335" i="4"/>
  <c r="Y335" i="4"/>
  <c r="X335" i="4"/>
  <c r="W335" i="4"/>
  <c r="V335" i="4"/>
  <c r="AC330" i="4"/>
  <c r="AB330" i="4"/>
  <c r="AA330" i="4"/>
  <c r="Z330" i="4"/>
  <c r="Y330" i="4"/>
  <c r="X330" i="4"/>
  <c r="W330" i="4"/>
  <c r="V330" i="4"/>
  <c r="AC325" i="4"/>
  <c r="AB325" i="4"/>
  <c r="AA325" i="4"/>
  <c r="Z325" i="4"/>
  <c r="Y325" i="4"/>
  <c r="X325" i="4"/>
  <c r="W325" i="4"/>
  <c r="V325" i="4"/>
  <c r="AC305" i="4"/>
  <c r="AB305" i="4"/>
  <c r="AA305" i="4"/>
  <c r="Z305" i="4"/>
  <c r="Y305" i="4"/>
  <c r="X305" i="4"/>
  <c r="W305" i="4"/>
  <c r="V305" i="4"/>
  <c r="AC301" i="4"/>
  <c r="AB301" i="4"/>
  <c r="AA301" i="4"/>
  <c r="Z301" i="4"/>
  <c r="Y301" i="4"/>
  <c r="X301" i="4"/>
  <c r="W301" i="4"/>
  <c r="V301" i="4"/>
  <c r="AC298" i="4"/>
  <c r="AB298" i="4"/>
  <c r="AA298" i="4"/>
  <c r="Z298" i="4"/>
  <c r="Y298" i="4"/>
  <c r="X298" i="4"/>
  <c r="W298" i="4"/>
  <c r="V298" i="4"/>
  <c r="AC295" i="4"/>
  <c r="AB295" i="4"/>
  <c r="AA295" i="4"/>
  <c r="Z295" i="4"/>
  <c r="Y295" i="4"/>
  <c r="X295" i="4"/>
  <c r="W295" i="4"/>
  <c r="V295" i="4"/>
  <c r="AC291" i="4"/>
  <c r="AB291" i="4"/>
  <c r="AA291" i="4"/>
  <c r="Y291" i="4"/>
  <c r="X291" i="4"/>
  <c r="W291" i="4"/>
  <c r="V291" i="4"/>
  <c r="AC286" i="4"/>
  <c r="AB286" i="4"/>
  <c r="AA286" i="4"/>
  <c r="Z286" i="4"/>
  <c r="Y286" i="4"/>
  <c r="X286" i="4"/>
  <c r="W286" i="4"/>
  <c r="V286" i="4"/>
  <c r="AC281" i="4"/>
  <c r="AB281" i="4"/>
  <c r="AA281" i="4"/>
  <c r="Z281" i="4"/>
  <c r="Y281" i="4"/>
  <c r="X281" i="4"/>
  <c r="W281" i="4"/>
  <c r="V281" i="4"/>
  <c r="AC278" i="4"/>
  <c r="AB278" i="4"/>
  <c r="AA278" i="4"/>
  <c r="Z278" i="4"/>
  <c r="Y278" i="4"/>
  <c r="X278" i="4"/>
  <c r="W278" i="4"/>
  <c r="V278" i="4"/>
  <c r="AC274" i="4"/>
  <c r="AB274" i="4"/>
  <c r="AA274" i="4"/>
  <c r="Z274" i="4"/>
  <c r="Y274" i="4"/>
  <c r="X274" i="4"/>
  <c r="W274" i="4"/>
  <c r="V274" i="4"/>
  <c r="AC269" i="4"/>
  <c r="AB269" i="4"/>
  <c r="AA269" i="4"/>
  <c r="Z269" i="4"/>
  <c r="Y269" i="4"/>
  <c r="X269" i="4"/>
  <c r="W269" i="4"/>
  <c r="V269" i="4"/>
  <c r="AC259" i="4"/>
  <c r="AB259" i="4"/>
  <c r="AA259" i="4"/>
  <c r="Z259" i="4"/>
  <c r="Y259" i="4"/>
  <c r="X259" i="4"/>
  <c r="W259" i="4"/>
  <c r="V259" i="4"/>
  <c r="AC256" i="4"/>
  <c r="AA256" i="4"/>
  <c r="Z256" i="4"/>
  <c r="Y256" i="4"/>
  <c r="X256" i="4"/>
  <c r="W256" i="4"/>
  <c r="V256" i="4"/>
  <c r="AC252" i="4"/>
  <c r="AB252" i="4"/>
  <c r="AA252" i="4"/>
  <c r="Z252" i="4"/>
  <c r="Y252" i="4"/>
  <c r="X252" i="4"/>
  <c r="W252" i="4"/>
  <c r="V252" i="4"/>
  <c r="AC249" i="4"/>
  <c r="AB249" i="4"/>
  <c r="AA249" i="4"/>
  <c r="Z249" i="4"/>
  <c r="Y249" i="4"/>
  <c r="X249" i="4"/>
  <c r="W249" i="4"/>
  <c r="V249" i="4"/>
  <c r="AC238" i="4"/>
  <c r="AB238" i="4"/>
  <c r="AA238" i="4"/>
  <c r="Z238" i="4"/>
  <c r="Y238" i="4"/>
  <c r="X238" i="4"/>
  <c r="W238" i="4"/>
  <c r="V238" i="4"/>
  <c r="AC232" i="4"/>
  <c r="AB232" i="4"/>
  <c r="AA232" i="4"/>
  <c r="Z232" i="4"/>
  <c r="Y232" i="4"/>
  <c r="X232" i="4"/>
  <c r="W232" i="4"/>
  <c r="W231" i="4" s="1"/>
  <c r="V232" i="4"/>
  <c r="AC229" i="4"/>
  <c r="AB229" i="4"/>
  <c r="AA229" i="4"/>
  <c r="Z229" i="4"/>
  <c r="Y229" i="4"/>
  <c r="X229" i="4"/>
  <c r="W229" i="4"/>
  <c r="V229" i="4"/>
  <c r="AC224" i="4"/>
  <c r="AB224" i="4"/>
  <c r="AA224" i="4"/>
  <c r="Z224" i="4"/>
  <c r="Y224" i="4"/>
  <c r="X224" i="4"/>
  <c r="W224" i="4"/>
  <c r="V224" i="4"/>
  <c r="AC211" i="4"/>
  <c r="AC210" i="4" s="1"/>
  <c r="AB211" i="4"/>
  <c r="AA211" i="4"/>
  <c r="Z211" i="4"/>
  <c r="Y211" i="4"/>
  <c r="X211" i="4"/>
  <c r="W211" i="4"/>
  <c r="W210" i="4" s="1"/>
  <c r="AC208" i="4"/>
  <c r="AB208" i="4"/>
  <c r="AA208" i="4"/>
  <c r="Z208" i="4"/>
  <c r="Y208" i="4"/>
  <c r="X208" i="4"/>
  <c r="W208" i="4"/>
  <c r="V208" i="4"/>
  <c r="AC204" i="4"/>
  <c r="AB204" i="4"/>
  <c r="AA204" i="4"/>
  <c r="Z204" i="4"/>
  <c r="Y204" i="4"/>
  <c r="X204" i="4"/>
  <c r="W204" i="4"/>
  <c r="V204" i="4"/>
  <c r="AC191" i="4"/>
  <c r="AB191" i="4"/>
  <c r="AA191" i="4"/>
  <c r="Z191" i="4"/>
  <c r="Y191" i="4"/>
  <c r="X191" i="4"/>
  <c r="W191" i="4"/>
  <c r="V191" i="4"/>
  <c r="AC188" i="4"/>
  <c r="AB188" i="4"/>
  <c r="AA188" i="4"/>
  <c r="Z188" i="4"/>
  <c r="Y188" i="4"/>
  <c r="X188" i="4"/>
  <c r="W188" i="4"/>
  <c r="V188" i="4"/>
  <c r="AC185" i="4"/>
  <c r="AB185" i="4"/>
  <c r="AA185" i="4"/>
  <c r="Z185" i="4"/>
  <c r="Y185" i="4"/>
  <c r="X185" i="4"/>
  <c r="W185" i="4"/>
  <c r="V185" i="4"/>
  <c r="AC181" i="4"/>
  <c r="AB181" i="4"/>
  <c r="AA181" i="4"/>
  <c r="Z181" i="4"/>
  <c r="Y181" i="4"/>
  <c r="X181" i="4"/>
  <c r="W181" i="4"/>
  <c r="V181" i="4"/>
  <c r="AC175" i="4"/>
  <c r="AB175" i="4"/>
  <c r="AA175" i="4"/>
  <c r="Z175" i="4"/>
  <c r="Y175" i="4"/>
  <c r="X175" i="4"/>
  <c r="W175" i="4"/>
  <c r="V175" i="4"/>
  <c r="AC169" i="4"/>
  <c r="AB169" i="4"/>
  <c r="AA169" i="4"/>
  <c r="Z169" i="4"/>
  <c r="Z168" i="4" s="1"/>
  <c r="Y169" i="4"/>
  <c r="X169" i="4"/>
  <c r="W169" i="4"/>
  <c r="V169" i="4"/>
  <c r="AC165" i="4"/>
  <c r="AB165" i="4"/>
  <c r="AA165" i="4"/>
  <c r="Z165" i="4"/>
  <c r="Y165" i="4"/>
  <c r="X165" i="4"/>
  <c r="W165" i="4"/>
  <c r="V165" i="4"/>
  <c r="AC160" i="4"/>
  <c r="AB160" i="4"/>
  <c r="AA160" i="4"/>
  <c r="Z160" i="4"/>
  <c r="Y160" i="4"/>
  <c r="X160" i="4"/>
  <c r="W160" i="4"/>
  <c r="V160" i="4"/>
  <c r="W155" i="4"/>
  <c r="AC155" i="4"/>
  <c r="AB155" i="4"/>
  <c r="AA155" i="4"/>
  <c r="Z155" i="4"/>
  <c r="Y155" i="4"/>
  <c r="X155" i="4"/>
  <c r="V155" i="4"/>
  <c r="AC152" i="4"/>
  <c r="AB152" i="4"/>
  <c r="AA152" i="4"/>
  <c r="Z152" i="4"/>
  <c r="Y152" i="4"/>
  <c r="X152" i="4"/>
  <c r="W152" i="4"/>
  <c r="AC146" i="4"/>
  <c r="AB146" i="4"/>
  <c r="AA146" i="4"/>
  <c r="Z146" i="4"/>
  <c r="Y146" i="4"/>
  <c r="X146" i="4"/>
  <c r="W146" i="4"/>
  <c r="V146" i="4"/>
  <c r="AC141" i="4"/>
  <c r="AB141" i="4"/>
  <c r="AA141" i="4"/>
  <c r="Z141" i="4"/>
  <c r="Y141" i="4"/>
  <c r="X141" i="4"/>
  <c r="W141" i="4"/>
  <c r="V141" i="4"/>
  <c r="AC130" i="4"/>
  <c r="AB130" i="4"/>
  <c r="AA130" i="4"/>
  <c r="Z130" i="4"/>
  <c r="Y130" i="4"/>
  <c r="X130" i="4"/>
  <c r="W130" i="4"/>
  <c r="V130" i="4"/>
  <c r="AC129" i="4"/>
  <c r="T129" i="4" s="1"/>
  <c r="AC128" i="4"/>
  <c r="T128" i="4" s="1"/>
  <c r="AB126" i="4"/>
  <c r="AA126" i="4"/>
  <c r="Z126" i="4"/>
  <c r="Y126" i="4"/>
  <c r="X126" i="4"/>
  <c r="W126" i="4"/>
  <c r="V126" i="4"/>
  <c r="AC122" i="4"/>
  <c r="AB122" i="4"/>
  <c r="AA122" i="4"/>
  <c r="Z122" i="4"/>
  <c r="Y122" i="4"/>
  <c r="X122" i="4"/>
  <c r="W122" i="4"/>
  <c r="V122" i="4"/>
  <c r="AC118" i="4"/>
  <c r="AB118" i="4"/>
  <c r="AA118" i="4"/>
  <c r="Z118" i="4"/>
  <c r="Y118" i="4"/>
  <c r="X118" i="4"/>
  <c r="W118" i="4"/>
  <c r="V118" i="4"/>
  <c r="AC114" i="4"/>
  <c r="AB114" i="4"/>
  <c r="AA114" i="4"/>
  <c r="Z114" i="4"/>
  <c r="Y114" i="4"/>
  <c r="X114" i="4"/>
  <c r="W114" i="4"/>
  <c r="V114" i="4"/>
  <c r="AC110" i="4"/>
  <c r="AB110" i="4"/>
  <c r="AA110" i="4"/>
  <c r="Z110" i="4"/>
  <c r="Y110" i="4"/>
  <c r="X110" i="4"/>
  <c r="W110" i="4"/>
  <c r="V110" i="4"/>
  <c r="AC106" i="4"/>
  <c r="AB106" i="4"/>
  <c r="AA106" i="4"/>
  <c r="Z106" i="4"/>
  <c r="Y106" i="4"/>
  <c r="X106" i="4"/>
  <c r="W106" i="4"/>
  <c r="V106" i="4"/>
  <c r="AC101" i="4"/>
  <c r="AB101" i="4"/>
  <c r="AA101" i="4"/>
  <c r="Z101" i="4"/>
  <c r="Y101" i="4"/>
  <c r="X101" i="4"/>
  <c r="W101" i="4"/>
  <c r="V101" i="4"/>
  <c r="AC94" i="4"/>
  <c r="AB94" i="4"/>
  <c r="AA94" i="4"/>
  <c r="Z94" i="4"/>
  <c r="Y94" i="4"/>
  <c r="X94" i="4"/>
  <c r="W94" i="4"/>
  <c r="V94" i="4"/>
  <c r="AC87" i="4"/>
  <c r="AB87" i="4"/>
  <c r="AA87" i="4"/>
  <c r="Z87" i="4"/>
  <c r="Y87" i="4"/>
  <c r="X87" i="4"/>
  <c r="W87" i="4"/>
  <c r="V87" i="4"/>
  <c r="AC77" i="4"/>
  <c r="AB77" i="4"/>
  <c r="AA77" i="4"/>
  <c r="Z77" i="4"/>
  <c r="Y77" i="4"/>
  <c r="X77" i="4"/>
  <c r="W77" i="4"/>
  <c r="V77" i="4"/>
  <c r="AC71" i="4"/>
  <c r="AB71" i="4"/>
  <c r="AA71" i="4"/>
  <c r="Z71" i="4"/>
  <c r="Y71" i="4"/>
  <c r="X71" i="4"/>
  <c r="W71" i="4"/>
  <c r="V71" i="4"/>
  <c r="AC65" i="4"/>
  <c r="AB65" i="4"/>
  <c r="AA65" i="4"/>
  <c r="Z65" i="4"/>
  <c r="Y65" i="4"/>
  <c r="X65" i="4"/>
  <c r="W65" i="4"/>
  <c r="V65" i="4"/>
  <c r="AC61" i="4"/>
  <c r="AB61" i="4"/>
  <c r="AA61" i="4"/>
  <c r="Z61" i="4"/>
  <c r="Y61" i="4"/>
  <c r="X61" i="4"/>
  <c r="W61" i="4"/>
  <c r="V61" i="4"/>
  <c r="AC56" i="4"/>
  <c r="AB56" i="4"/>
  <c r="AA56" i="4"/>
  <c r="Z56" i="4"/>
  <c r="Y56" i="4"/>
  <c r="X56" i="4"/>
  <c r="W56" i="4"/>
  <c r="V56" i="4"/>
  <c r="AC50" i="4"/>
  <c r="AB50" i="4"/>
  <c r="AA50" i="4"/>
  <c r="Z50" i="4"/>
  <c r="Y50" i="4"/>
  <c r="X50" i="4"/>
  <c r="W50" i="4"/>
  <c r="V50" i="4"/>
  <c r="AC43" i="4"/>
  <c r="AB43" i="4"/>
  <c r="AA43" i="4"/>
  <c r="Z43" i="4"/>
  <c r="Y43" i="4"/>
  <c r="X43" i="4"/>
  <c r="W43" i="4"/>
  <c r="V43" i="4"/>
  <c r="AC38" i="4"/>
  <c r="AB38" i="4"/>
  <c r="AA38" i="4"/>
  <c r="Z38" i="4"/>
  <c r="Z37" i="4" s="1"/>
  <c r="Y38" i="4"/>
  <c r="Y37" i="4" s="1"/>
  <c r="X38" i="4"/>
  <c r="W38" i="4"/>
  <c r="V38" i="4"/>
  <c r="AC34" i="4"/>
  <c r="AB34" i="4"/>
  <c r="AA34" i="4"/>
  <c r="Z34" i="4"/>
  <c r="Y34" i="4"/>
  <c r="X34" i="4"/>
  <c r="W34" i="4"/>
  <c r="V34" i="4"/>
  <c r="AC31" i="4"/>
  <c r="AB31" i="4"/>
  <c r="AA31" i="4"/>
  <c r="Z31" i="4"/>
  <c r="Y31" i="4"/>
  <c r="X31" i="4"/>
  <c r="W31" i="4"/>
  <c r="V31" i="4"/>
  <c r="AC28" i="4"/>
  <c r="AB28" i="4"/>
  <c r="AA28" i="4"/>
  <c r="Z28" i="4"/>
  <c r="Y28" i="4"/>
  <c r="X28" i="4"/>
  <c r="W28" i="4"/>
  <c r="V28" i="4"/>
  <c r="AC24" i="4"/>
  <c r="AB24" i="4"/>
  <c r="AA24" i="4"/>
  <c r="Z24" i="4"/>
  <c r="Y24" i="4"/>
  <c r="X24" i="4"/>
  <c r="W24" i="4"/>
  <c r="W23" i="4" s="1"/>
  <c r="V24" i="4"/>
  <c r="AC17" i="4"/>
  <c r="AB17" i="4"/>
  <c r="AA17" i="4"/>
  <c r="Z17" i="4"/>
  <c r="Y17" i="4"/>
  <c r="X17" i="4"/>
  <c r="W17" i="4"/>
  <c r="AC6" i="4"/>
  <c r="AB6" i="4"/>
  <c r="AA6" i="4"/>
  <c r="Y6" i="4"/>
  <c r="X6" i="4"/>
  <c r="W6" i="4"/>
  <c r="V6" i="4"/>
  <c r="F580" i="4"/>
  <c r="J580" i="4" s="1"/>
  <c r="AF579" i="4"/>
  <c r="P579" i="4"/>
  <c r="O579" i="4"/>
  <c r="N579" i="4"/>
  <c r="M579" i="4"/>
  <c r="L579" i="4"/>
  <c r="K579" i="4"/>
  <c r="I579" i="4"/>
  <c r="H578" i="4"/>
  <c r="F578" i="4"/>
  <c r="H577" i="4"/>
  <c r="F577" i="4"/>
  <c r="F576" i="4"/>
  <c r="I576" i="4" s="1"/>
  <c r="AE575" i="4"/>
  <c r="AF575" i="4" s="1"/>
  <c r="P575" i="4"/>
  <c r="O575" i="4"/>
  <c r="N575" i="4"/>
  <c r="M575" i="4"/>
  <c r="L575" i="4"/>
  <c r="K575" i="4"/>
  <c r="J575" i="4"/>
  <c r="F574" i="4"/>
  <c r="J574" i="4" s="1"/>
  <c r="H574" i="4" s="1"/>
  <c r="G574" i="4" s="1"/>
  <c r="H573" i="4"/>
  <c r="F573" i="4"/>
  <c r="F572" i="4"/>
  <c r="J572" i="4" s="1"/>
  <c r="H572" i="4" s="1"/>
  <c r="G572" i="4" s="1"/>
  <c r="F571" i="4"/>
  <c r="J571" i="4" s="1"/>
  <c r="H571" i="4" s="1"/>
  <c r="G571" i="4" s="1"/>
  <c r="F570" i="4"/>
  <c r="J570" i="4" s="1"/>
  <c r="H570" i="4" s="1"/>
  <c r="G570" i="4" s="1"/>
  <c r="F569" i="4"/>
  <c r="J569" i="4" s="1"/>
  <c r="H569" i="4" s="1"/>
  <c r="G569" i="4" s="1"/>
  <c r="F568" i="4"/>
  <c r="J568" i="4" s="1"/>
  <c r="H568" i="4" s="1"/>
  <c r="G568" i="4" s="1"/>
  <c r="F567" i="4"/>
  <c r="J567" i="4" s="1"/>
  <c r="H567" i="4" s="1"/>
  <c r="G567" i="4" s="1"/>
  <c r="F566" i="4"/>
  <c r="J566" i="4" s="1"/>
  <c r="H566" i="4" s="1"/>
  <c r="G566" i="4" s="1"/>
  <c r="F565" i="4"/>
  <c r="J565" i="4" s="1"/>
  <c r="H565" i="4" s="1"/>
  <c r="G565" i="4" s="1"/>
  <c r="F564" i="4"/>
  <c r="J564" i="4" s="1"/>
  <c r="H564" i="4" s="1"/>
  <c r="G564" i="4" s="1"/>
  <c r="F563" i="4"/>
  <c r="J563" i="4" s="1"/>
  <c r="H563" i="4" s="1"/>
  <c r="G563" i="4" s="1"/>
  <c r="F562" i="4"/>
  <c r="J562" i="4" s="1"/>
  <c r="H562" i="4" s="1"/>
  <c r="G562" i="4" s="1"/>
  <c r="F561" i="4"/>
  <c r="J561" i="4" s="1"/>
  <c r="H561" i="4" s="1"/>
  <c r="G561" i="4" s="1"/>
  <c r="F560" i="4"/>
  <c r="J560" i="4" s="1"/>
  <c r="H560" i="4" s="1"/>
  <c r="G560" i="4" s="1"/>
  <c r="F559" i="4"/>
  <c r="J559" i="4" s="1"/>
  <c r="H559" i="4" s="1"/>
  <c r="G559" i="4" s="1"/>
  <c r="F558" i="4"/>
  <c r="J558" i="4" s="1"/>
  <c r="H558" i="4" s="1"/>
  <c r="G558" i="4" s="1"/>
  <c r="F557" i="4"/>
  <c r="J557" i="4" s="1"/>
  <c r="H557" i="4" s="1"/>
  <c r="G557" i="4" s="1"/>
  <c r="F556" i="4"/>
  <c r="J556" i="4" s="1"/>
  <c r="H556" i="4" s="1"/>
  <c r="G556" i="4" s="1"/>
  <c r="F555" i="4"/>
  <c r="J555" i="4" s="1"/>
  <c r="H555" i="4" s="1"/>
  <c r="G555" i="4" s="1"/>
  <c r="F554" i="4"/>
  <c r="J554" i="4" s="1"/>
  <c r="H554" i="4" s="1"/>
  <c r="G554" i="4" s="1"/>
  <c r="F553" i="4"/>
  <c r="J553" i="4" s="1"/>
  <c r="H553" i="4" s="1"/>
  <c r="G553" i="4" s="1"/>
  <c r="F552" i="4"/>
  <c r="J552" i="4" s="1"/>
  <c r="H552" i="4" s="1"/>
  <c r="G552" i="4" s="1"/>
  <c r="F551" i="4"/>
  <c r="J551" i="4" s="1"/>
  <c r="H551" i="4" s="1"/>
  <c r="G551" i="4" s="1"/>
  <c r="F550" i="4"/>
  <c r="J550" i="4" s="1"/>
  <c r="H550" i="4" s="1"/>
  <c r="G550" i="4" s="1"/>
  <c r="F549" i="4"/>
  <c r="J549" i="4" s="1"/>
  <c r="H549" i="4" s="1"/>
  <c r="G549" i="4" s="1"/>
  <c r="F548" i="4"/>
  <c r="J548" i="4" s="1"/>
  <c r="H548" i="4" s="1"/>
  <c r="G548" i="4" s="1"/>
  <c r="F547" i="4"/>
  <c r="J547" i="4" s="1"/>
  <c r="H547" i="4" s="1"/>
  <c r="G547" i="4" s="1"/>
  <c r="F546" i="4"/>
  <c r="J546" i="4" s="1"/>
  <c r="H546" i="4" s="1"/>
  <c r="G546" i="4" s="1"/>
  <c r="F545" i="4"/>
  <c r="J545" i="4" s="1"/>
  <c r="H545" i="4" s="1"/>
  <c r="G545" i="4" s="1"/>
  <c r="F544" i="4"/>
  <c r="J544" i="4" s="1"/>
  <c r="H544" i="4" s="1"/>
  <c r="G544" i="4" s="1"/>
  <c r="F543" i="4"/>
  <c r="J543" i="4" s="1"/>
  <c r="H543" i="4" s="1"/>
  <c r="G543" i="4" s="1"/>
  <c r="F542" i="4"/>
  <c r="AE541" i="4"/>
  <c r="AD541" i="4"/>
  <c r="P541" i="4"/>
  <c r="O541" i="4"/>
  <c r="N541" i="4"/>
  <c r="M541" i="4"/>
  <c r="L541" i="4"/>
  <c r="K541" i="4"/>
  <c r="I541" i="4"/>
  <c r="H540" i="4"/>
  <c r="F540" i="4"/>
  <c r="F539" i="4"/>
  <c r="J539" i="4" s="1"/>
  <c r="H539" i="4" s="1"/>
  <c r="G539" i="4" s="1"/>
  <c r="F538" i="4"/>
  <c r="J538" i="4" s="1"/>
  <c r="H538" i="4" s="1"/>
  <c r="G538" i="4" s="1"/>
  <c r="F537" i="4"/>
  <c r="J537" i="4" s="1"/>
  <c r="H537" i="4" s="1"/>
  <c r="G537" i="4" s="1"/>
  <c r="F536" i="4"/>
  <c r="J536" i="4" s="1"/>
  <c r="H536" i="4" s="1"/>
  <c r="G536" i="4" s="1"/>
  <c r="F535" i="4"/>
  <c r="J535" i="4" s="1"/>
  <c r="H535" i="4" s="1"/>
  <c r="G535" i="4" s="1"/>
  <c r="F534" i="4"/>
  <c r="J534" i="4" s="1"/>
  <c r="H534" i="4" s="1"/>
  <c r="G534" i="4" s="1"/>
  <c r="F533" i="4"/>
  <c r="J533" i="4" s="1"/>
  <c r="H533" i="4" s="1"/>
  <c r="G533" i="4" s="1"/>
  <c r="F532" i="4"/>
  <c r="J532" i="4" s="1"/>
  <c r="H532" i="4" s="1"/>
  <c r="G532" i="4" s="1"/>
  <c r="F531" i="4"/>
  <c r="J531" i="4" s="1"/>
  <c r="H531" i="4" s="1"/>
  <c r="G531" i="4" s="1"/>
  <c r="F530" i="4"/>
  <c r="J530" i="4" s="1"/>
  <c r="H530" i="4" s="1"/>
  <c r="G530" i="4" s="1"/>
  <c r="F529" i="4"/>
  <c r="J529" i="4" s="1"/>
  <c r="H529" i="4" s="1"/>
  <c r="G529" i="4" s="1"/>
  <c r="F528" i="4"/>
  <c r="J528" i="4" s="1"/>
  <c r="H528" i="4" s="1"/>
  <c r="G528" i="4" s="1"/>
  <c r="F527" i="4"/>
  <c r="J527" i="4" s="1"/>
  <c r="H527" i="4" s="1"/>
  <c r="G527" i="4" s="1"/>
  <c r="F526" i="4"/>
  <c r="J526" i="4" s="1"/>
  <c r="AE525" i="4"/>
  <c r="AD525" i="4"/>
  <c r="P525" i="4"/>
  <c r="O525" i="4"/>
  <c r="N525" i="4"/>
  <c r="M525" i="4"/>
  <c r="L525" i="4"/>
  <c r="K525" i="4"/>
  <c r="I525" i="4"/>
  <c r="H524" i="4"/>
  <c r="F524" i="4"/>
  <c r="H523" i="4"/>
  <c r="F523" i="4"/>
  <c r="H522" i="4"/>
  <c r="F522" i="4"/>
  <c r="H521" i="4"/>
  <c r="F521" i="4"/>
  <c r="AF520" i="4"/>
  <c r="P520" i="4"/>
  <c r="O520" i="4"/>
  <c r="N520" i="4"/>
  <c r="M520" i="4"/>
  <c r="L520" i="4"/>
  <c r="K520" i="4"/>
  <c r="J520" i="4"/>
  <c r="I520" i="4"/>
  <c r="H518" i="4"/>
  <c r="F518" i="4"/>
  <c r="F517" i="4" s="1"/>
  <c r="AE517" i="4"/>
  <c r="P517" i="4"/>
  <c r="O517" i="4"/>
  <c r="N517" i="4"/>
  <c r="M517" i="4"/>
  <c r="L517" i="4"/>
  <c r="K517" i="4"/>
  <c r="J517" i="4"/>
  <c r="I517" i="4"/>
  <c r="H516" i="4"/>
  <c r="F516" i="4"/>
  <c r="F515" i="4"/>
  <c r="I515" i="4" s="1"/>
  <c r="H515" i="4" s="1"/>
  <c r="G515" i="4" s="1"/>
  <c r="AE514" i="4"/>
  <c r="P514" i="4"/>
  <c r="O514" i="4"/>
  <c r="N514" i="4"/>
  <c r="M514" i="4"/>
  <c r="L514" i="4"/>
  <c r="K514" i="4"/>
  <c r="J514" i="4"/>
  <c r="H513" i="4"/>
  <c r="F513" i="4"/>
  <c r="F512" i="4" s="1"/>
  <c r="AE512" i="4"/>
  <c r="P512" i="4"/>
  <c r="O512" i="4"/>
  <c r="N512" i="4"/>
  <c r="M512" i="4"/>
  <c r="L512" i="4"/>
  <c r="K512" i="4"/>
  <c r="J512" i="4"/>
  <c r="I512" i="4"/>
  <c r="H511" i="4"/>
  <c r="F511" i="4"/>
  <c r="H510" i="4"/>
  <c r="F510" i="4"/>
  <c r="F509" i="4"/>
  <c r="J509" i="4" s="1"/>
  <c r="AE508" i="4"/>
  <c r="AF508" i="4" s="1"/>
  <c r="P508" i="4"/>
  <c r="O508" i="4"/>
  <c r="N508" i="4"/>
  <c r="M508" i="4"/>
  <c r="L508" i="4"/>
  <c r="K508" i="4"/>
  <c r="I508" i="4"/>
  <c r="H507" i="4"/>
  <c r="F507" i="4"/>
  <c r="H506" i="4"/>
  <c r="F506" i="4"/>
  <c r="H505" i="4"/>
  <c r="F505" i="4"/>
  <c r="H504" i="4"/>
  <c r="F504" i="4"/>
  <c r="AE503" i="4"/>
  <c r="AF503" i="4" s="1"/>
  <c r="P503" i="4"/>
  <c r="O503" i="4"/>
  <c r="N503" i="4"/>
  <c r="M503" i="4"/>
  <c r="L503" i="4"/>
  <c r="K503" i="4"/>
  <c r="J503" i="4"/>
  <c r="I503" i="4"/>
  <c r="AD502" i="4"/>
  <c r="H501" i="4"/>
  <c r="F501" i="4"/>
  <c r="F500" i="4" s="1"/>
  <c r="AE500" i="4"/>
  <c r="P500" i="4"/>
  <c r="O500" i="4"/>
  <c r="N500" i="4"/>
  <c r="M500" i="4"/>
  <c r="L500" i="4"/>
  <c r="K500" i="4"/>
  <c r="J500" i="4"/>
  <c r="I500" i="4"/>
  <c r="H499" i="4"/>
  <c r="F499" i="4"/>
  <c r="H498" i="4"/>
  <c r="F498" i="4"/>
  <c r="H497" i="4"/>
  <c r="F497" i="4"/>
  <c r="H496" i="4"/>
  <c r="F496" i="4"/>
  <c r="AE495" i="4"/>
  <c r="AF495" i="4" s="1"/>
  <c r="P495" i="4"/>
  <c r="O495" i="4"/>
  <c r="N495" i="4"/>
  <c r="M495" i="4"/>
  <c r="L495" i="4"/>
  <c r="K495" i="4"/>
  <c r="J495" i="4"/>
  <c r="I495" i="4"/>
  <c r="H494" i="4"/>
  <c r="F494" i="4"/>
  <c r="H493" i="4"/>
  <c r="F493" i="4"/>
  <c r="AE492" i="4"/>
  <c r="AF492" i="4" s="1"/>
  <c r="P492" i="4"/>
  <c r="O492" i="4"/>
  <c r="N492" i="4"/>
  <c r="M492" i="4"/>
  <c r="L492" i="4"/>
  <c r="K492" i="4"/>
  <c r="J492" i="4"/>
  <c r="I492" i="4"/>
  <c r="H491" i="4"/>
  <c r="F491" i="4"/>
  <c r="H490" i="4"/>
  <c r="F490" i="4"/>
  <c r="H489" i="4"/>
  <c r="F489" i="4"/>
  <c r="AE488" i="4"/>
  <c r="AF488" i="4" s="1"/>
  <c r="P488" i="4"/>
  <c r="O488" i="4"/>
  <c r="N488" i="4"/>
  <c r="M488" i="4"/>
  <c r="L488" i="4"/>
  <c r="K488" i="4"/>
  <c r="J488" i="4"/>
  <c r="I488" i="4"/>
  <c r="H487" i="4"/>
  <c r="F487" i="4"/>
  <c r="H486" i="4"/>
  <c r="F486" i="4"/>
  <c r="H485" i="4"/>
  <c r="F485" i="4"/>
  <c r="H484" i="4"/>
  <c r="F484" i="4"/>
  <c r="AE483" i="4"/>
  <c r="AF483" i="4" s="1"/>
  <c r="P483" i="4"/>
  <c r="O483" i="4"/>
  <c r="N483" i="4"/>
  <c r="M483" i="4"/>
  <c r="L483" i="4"/>
  <c r="K483" i="4"/>
  <c r="J483" i="4"/>
  <c r="I483" i="4"/>
  <c r="AD482" i="4"/>
  <c r="L481" i="4"/>
  <c r="L480" i="4" s="1"/>
  <c r="K481" i="4"/>
  <c r="F481" i="4"/>
  <c r="F480" i="4" s="1"/>
  <c r="AF480" i="4"/>
  <c r="P480" i="4"/>
  <c r="O480" i="4"/>
  <c r="N480" i="4"/>
  <c r="M480" i="4"/>
  <c r="J480" i="4"/>
  <c r="I480" i="4"/>
  <c r="H479" i="4"/>
  <c r="F479" i="4"/>
  <c r="H478" i="4"/>
  <c r="F478" i="4"/>
  <c r="AF477" i="4"/>
  <c r="P477" i="4"/>
  <c r="O477" i="4"/>
  <c r="N477" i="4"/>
  <c r="K477" i="4"/>
  <c r="J477" i="4"/>
  <c r="I477" i="4"/>
  <c r="H476" i="4"/>
  <c r="F476" i="4"/>
  <c r="H475" i="4"/>
  <c r="F475" i="4"/>
  <c r="H474" i="4"/>
  <c r="F474" i="4"/>
  <c r="L473" i="4"/>
  <c r="H473" i="4" s="1"/>
  <c r="F473" i="4"/>
  <c r="K472" i="4"/>
  <c r="K471" i="4" s="1"/>
  <c r="J472" i="4"/>
  <c r="F472" i="4"/>
  <c r="AE471" i="4"/>
  <c r="AF471" i="4" s="1"/>
  <c r="P471" i="4"/>
  <c r="O471" i="4"/>
  <c r="N471" i="4"/>
  <c r="M471" i="4"/>
  <c r="I471" i="4"/>
  <c r="H470" i="4"/>
  <c r="F470" i="4"/>
  <c r="L469" i="4"/>
  <c r="L468" i="4" s="1"/>
  <c r="K469" i="4"/>
  <c r="F469" i="4"/>
  <c r="AE468" i="4"/>
  <c r="AD468" i="4"/>
  <c r="P468" i="4"/>
  <c r="O468" i="4"/>
  <c r="N468" i="4"/>
  <c r="M468" i="4"/>
  <c r="J468" i="4"/>
  <c r="I468" i="4"/>
  <c r="H467" i="4"/>
  <c r="F467" i="4"/>
  <c r="L466" i="4"/>
  <c r="L465" i="4" s="1"/>
  <c r="K466" i="4"/>
  <c r="K465" i="4" s="1"/>
  <c r="J466" i="4"/>
  <c r="F466" i="4"/>
  <c r="AE465" i="4"/>
  <c r="AD465" i="4"/>
  <c r="P465" i="4"/>
  <c r="O465" i="4"/>
  <c r="N465" i="4"/>
  <c r="M465" i="4"/>
  <c r="I465" i="4"/>
  <c r="F464" i="4"/>
  <c r="J464" i="4" s="1"/>
  <c r="H464" i="4" s="1"/>
  <c r="G464" i="4" s="1"/>
  <c r="F463" i="4"/>
  <c r="J463" i="4" s="1"/>
  <c r="H463" i="4" s="1"/>
  <c r="G463" i="4" s="1"/>
  <c r="F462" i="4"/>
  <c r="J462" i="4" s="1"/>
  <c r="H462" i="4" s="1"/>
  <c r="G462" i="4" s="1"/>
  <c r="AF461" i="4"/>
  <c r="P461" i="4"/>
  <c r="O461" i="4"/>
  <c r="N461" i="4"/>
  <c r="M461" i="4"/>
  <c r="L461" i="4"/>
  <c r="K461" i="4"/>
  <c r="I461" i="4"/>
  <c r="F460" i="4"/>
  <c r="I460" i="4" s="1"/>
  <c r="H459" i="4"/>
  <c r="F459" i="4"/>
  <c r="H458" i="4"/>
  <c r="F458" i="4"/>
  <c r="H457" i="4"/>
  <c r="F457" i="4"/>
  <c r="AE456" i="4"/>
  <c r="AF456" i="4" s="1"/>
  <c r="P456" i="4"/>
  <c r="O456" i="4"/>
  <c r="N456" i="4"/>
  <c r="M456" i="4"/>
  <c r="L456" i="4"/>
  <c r="K456" i="4"/>
  <c r="J456" i="4"/>
  <c r="H454" i="4"/>
  <c r="F454" i="4"/>
  <c r="F453" i="4" s="1"/>
  <c r="AF453" i="4"/>
  <c r="P453" i="4"/>
  <c r="O453" i="4"/>
  <c r="N453" i="4"/>
  <c r="M453" i="4"/>
  <c r="L453" i="4"/>
  <c r="K453" i="4"/>
  <c r="J453" i="4"/>
  <c r="I453" i="4"/>
  <c r="H450" i="4"/>
  <c r="F450" i="4"/>
  <c r="K449" i="4"/>
  <c r="H449" i="4" s="1"/>
  <c r="F449" i="4"/>
  <c r="H448" i="4"/>
  <c r="F448" i="4"/>
  <c r="AE447" i="4"/>
  <c r="AF447" i="4" s="1"/>
  <c r="P447" i="4"/>
  <c r="O447" i="4"/>
  <c r="N447" i="4"/>
  <c r="M447" i="4"/>
  <c r="L447" i="4"/>
  <c r="J447" i="4"/>
  <c r="I447" i="4"/>
  <c r="H446" i="4"/>
  <c r="F446" i="4"/>
  <c r="K445" i="4"/>
  <c r="I445" i="4"/>
  <c r="F445" i="4"/>
  <c r="K444" i="4"/>
  <c r="H444" i="4" s="1"/>
  <c r="F444" i="4"/>
  <c r="AE443" i="4"/>
  <c r="AF443" i="4" s="1"/>
  <c r="P443" i="4"/>
  <c r="O443" i="4"/>
  <c r="N443" i="4"/>
  <c r="M443" i="4"/>
  <c r="L443" i="4"/>
  <c r="J443" i="4"/>
  <c r="H442" i="4"/>
  <c r="F442" i="4"/>
  <c r="H441" i="4"/>
  <c r="F441" i="4"/>
  <c r="H440" i="4"/>
  <c r="F440" i="4"/>
  <c r="AE439" i="4"/>
  <c r="AF439" i="4" s="1"/>
  <c r="P439" i="4"/>
  <c r="O439" i="4"/>
  <c r="N439" i="4"/>
  <c r="M439" i="4"/>
  <c r="L439" i="4"/>
  <c r="K439" i="4"/>
  <c r="J439" i="4"/>
  <c r="I439" i="4"/>
  <c r="H438" i="4"/>
  <c r="F438" i="4"/>
  <c r="H437" i="4"/>
  <c r="F437" i="4"/>
  <c r="H436" i="4"/>
  <c r="F436" i="4"/>
  <c r="H435" i="4"/>
  <c r="F435" i="4"/>
  <c r="AE434" i="4"/>
  <c r="AF434" i="4" s="1"/>
  <c r="P434" i="4"/>
  <c r="O434" i="4"/>
  <c r="N434" i="4"/>
  <c r="M434" i="4"/>
  <c r="L434" i="4"/>
  <c r="K434" i="4"/>
  <c r="J434" i="4"/>
  <c r="I434" i="4"/>
  <c r="AD433" i="4"/>
  <c r="M432" i="4"/>
  <c r="H432" i="4" s="1"/>
  <c r="E432" i="4"/>
  <c r="F432" i="4" s="1"/>
  <c r="F431" i="4" s="1"/>
  <c r="AE431" i="4"/>
  <c r="AF431" i="4" s="1"/>
  <c r="P431" i="4"/>
  <c r="O431" i="4"/>
  <c r="N431" i="4"/>
  <c r="L431" i="4"/>
  <c r="K431" i="4"/>
  <c r="J431" i="4"/>
  <c r="I431" i="4"/>
  <c r="H430" i="4"/>
  <c r="F430" i="4"/>
  <c r="H429" i="4"/>
  <c r="F429" i="4"/>
  <c r="H428" i="4"/>
  <c r="F428" i="4"/>
  <c r="H427" i="4"/>
  <c r="F427" i="4"/>
  <c r="AE426" i="4"/>
  <c r="AF426" i="4" s="1"/>
  <c r="P426" i="4"/>
  <c r="O426" i="4"/>
  <c r="N426" i="4"/>
  <c r="M426" i="4"/>
  <c r="L426" i="4"/>
  <c r="K426" i="4"/>
  <c r="J426" i="4"/>
  <c r="I426" i="4"/>
  <c r="H425" i="4"/>
  <c r="F425" i="4"/>
  <c r="H424" i="4"/>
  <c r="F424" i="4"/>
  <c r="K423" i="4"/>
  <c r="H423" i="4" s="1"/>
  <c r="F423" i="4"/>
  <c r="H422" i="4"/>
  <c r="F422" i="4"/>
  <c r="H421" i="4"/>
  <c r="F421" i="4"/>
  <c r="H420" i="4"/>
  <c r="F420" i="4"/>
  <c r="M419" i="4"/>
  <c r="H419" i="4" s="1"/>
  <c r="F419" i="4"/>
  <c r="AE418" i="4"/>
  <c r="AF418" i="4" s="1"/>
  <c r="P418" i="4"/>
  <c r="O418" i="4"/>
  <c r="N418" i="4"/>
  <c r="L418" i="4"/>
  <c r="J418" i="4"/>
  <c r="I418" i="4"/>
  <c r="K417" i="4"/>
  <c r="H417" i="4" s="1"/>
  <c r="F417" i="4"/>
  <c r="H416" i="4"/>
  <c r="F416" i="4"/>
  <c r="M415" i="4"/>
  <c r="M414" i="4" s="1"/>
  <c r="K415" i="4"/>
  <c r="F415" i="4"/>
  <c r="AF414" i="4"/>
  <c r="P414" i="4"/>
  <c r="O414" i="4"/>
  <c r="N414" i="4"/>
  <c r="L414" i="4"/>
  <c r="J414" i="4"/>
  <c r="I414" i="4"/>
  <c r="H413" i="4"/>
  <c r="F413" i="4"/>
  <c r="H412" i="4"/>
  <c r="F412" i="4"/>
  <c r="H411" i="4"/>
  <c r="F411" i="4"/>
  <c r="H410" i="4"/>
  <c r="F410" i="4"/>
  <c r="H409" i="4"/>
  <c r="F409" i="4"/>
  <c r="H408" i="4"/>
  <c r="F408" i="4"/>
  <c r="H407" i="4"/>
  <c r="F407" i="4"/>
  <c r="AE406" i="4"/>
  <c r="AF406" i="4" s="1"/>
  <c r="P406" i="4"/>
  <c r="O406" i="4"/>
  <c r="N406" i="4"/>
  <c r="M406" i="4"/>
  <c r="L406" i="4"/>
  <c r="K406" i="4"/>
  <c r="J406" i="4"/>
  <c r="I406" i="4"/>
  <c r="H405" i="4"/>
  <c r="F405" i="4"/>
  <c r="H404" i="4"/>
  <c r="F404" i="4"/>
  <c r="H403" i="4"/>
  <c r="F403" i="4"/>
  <c r="H402" i="4"/>
  <c r="F402" i="4"/>
  <c r="AF401" i="4"/>
  <c r="P401" i="4"/>
  <c r="O401" i="4"/>
  <c r="N401" i="4"/>
  <c r="M401" i="4"/>
  <c r="L401" i="4"/>
  <c r="K401" i="4"/>
  <c r="J401" i="4"/>
  <c r="I401" i="4"/>
  <c r="AD400" i="4"/>
  <c r="H399" i="4"/>
  <c r="F399" i="4"/>
  <c r="F398" i="4" s="1"/>
  <c r="AE398" i="4"/>
  <c r="P398" i="4"/>
  <c r="O398" i="4"/>
  <c r="N398" i="4"/>
  <c r="L398" i="4"/>
  <c r="K398" i="4"/>
  <c r="J398" i="4"/>
  <c r="I398" i="4"/>
  <c r="H397" i="4"/>
  <c r="F397" i="4"/>
  <c r="H396" i="4"/>
  <c r="F396" i="4"/>
  <c r="H395" i="4"/>
  <c r="F395" i="4"/>
  <c r="H394" i="4"/>
  <c r="F394" i="4"/>
  <c r="H393" i="4"/>
  <c r="G393" i="4" s="1"/>
  <c r="AF392" i="4"/>
  <c r="P392" i="4"/>
  <c r="O392" i="4"/>
  <c r="N392" i="4"/>
  <c r="M392" i="4"/>
  <c r="L392" i="4"/>
  <c r="K392" i="4"/>
  <c r="J392" i="4"/>
  <c r="I392" i="4"/>
  <c r="H391" i="4"/>
  <c r="F391" i="4"/>
  <c r="H390" i="4"/>
  <c r="F390" i="4"/>
  <c r="H389" i="4"/>
  <c r="AE388" i="4"/>
  <c r="AF388" i="4" s="1"/>
  <c r="P388" i="4"/>
  <c r="O388" i="4"/>
  <c r="N388" i="4"/>
  <c r="M388" i="4"/>
  <c r="L388" i="4"/>
  <c r="K388" i="4"/>
  <c r="J388" i="4"/>
  <c r="I388" i="4"/>
  <c r="H387" i="4"/>
  <c r="F387" i="4"/>
  <c r="H386" i="4"/>
  <c r="F386" i="4"/>
  <c r="H385" i="4"/>
  <c r="F385" i="4"/>
  <c r="H384" i="4"/>
  <c r="F384" i="4"/>
  <c r="AE383" i="4"/>
  <c r="AF383" i="4" s="1"/>
  <c r="P383" i="4"/>
  <c r="O383" i="4"/>
  <c r="N383" i="4"/>
  <c r="M383" i="4"/>
  <c r="L383" i="4"/>
  <c r="K383" i="4"/>
  <c r="J383" i="4"/>
  <c r="I383" i="4"/>
  <c r="F382" i="4"/>
  <c r="I382" i="4" s="1"/>
  <c r="H381" i="4"/>
  <c r="F381" i="4"/>
  <c r="H380" i="4"/>
  <c r="F380" i="4"/>
  <c r="H379" i="4"/>
  <c r="F379" i="4"/>
  <c r="AF378" i="4"/>
  <c r="P378" i="4"/>
  <c r="O378" i="4"/>
  <c r="N378" i="4"/>
  <c r="M378" i="4"/>
  <c r="L378" i="4"/>
  <c r="K378" i="4"/>
  <c r="J378" i="4"/>
  <c r="AD377" i="4"/>
  <c r="L376" i="4"/>
  <c r="L375" i="4" s="1"/>
  <c r="K376" i="4"/>
  <c r="E376" i="4"/>
  <c r="F376" i="4" s="1"/>
  <c r="F375" i="4" s="1"/>
  <c r="AE375" i="4"/>
  <c r="AF375" i="4" s="1"/>
  <c r="P375" i="4"/>
  <c r="O375" i="4"/>
  <c r="N375" i="4"/>
  <c r="M375" i="4"/>
  <c r="J375" i="4"/>
  <c r="I375" i="4"/>
  <c r="H374" i="4"/>
  <c r="F374" i="4"/>
  <c r="F373" i="4" s="1"/>
  <c r="AE373" i="4"/>
  <c r="P373" i="4"/>
  <c r="O373" i="4"/>
  <c r="N373" i="4"/>
  <c r="M373" i="4"/>
  <c r="L373" i="4"/>
  <c r="K373" i="4"/>
  <c r="J373" i="4"/>
  <c r="I373" i="4"/>
  <c r="H372" i="4"/>
  <c r="F372" i="4"/>
  <c r="L371" i="4"/>
  <c r="E371" i="4"/>
  <c r="F371" i="4" s="1"/>
  <c r="AE370" i="4"/>
  <c r="AF370" i="4" s="1"/>
  <c r="P370" i="4"/>
  <c r="O370" i="4"/>
  <c r="N370" i="4"/>
  <c r="M370" i="4"/>
  <c r="K370" i="4"/>
  <c r="J370" i="4"/>
  <c r="I370" i="4"/>
  <c r="H369" i="4"/>
  <c r="F369" i="4"/>
  <c r="L368" i="4"/>
  <c r="L367" i="4" s="1"/>
  <c r="K368" i="4"/>
  <c r="E368" i="4"/>
  <c r="F368" i="4" s="1"/>
  <c r="AE367" i="4"/>
  <c r="AF367" i="4" s="1"/>
  <c r="P367" i="4"/>
  <c r="O367" i="4"/>
  <c r="N367" i="4"/>
  <c r="M367" i="4"/>
  <c r="J367" i="4"/>
  <c r="I367" i="4"/>
  <c r="H366" i="4"/>
  <c r="F366" i="4"/>
  <c r="H365" i="4"/>
  <c r="F365" i="4"/>
  <c r="H364" i="4"/>
  <c r="F364" i="4"/>
  <c r="AE363" i="4"/>
  <c r="P363" i="4"/>
  <c r="O363" i="4"/>
  <c r="N363" i="4"/>
  <c r="M363" i="4"/>
  <c r="L363" i="4"/>
  <c r="K363" i="4"/>
  <c r="J363" i="4"/>
  <c r="I363" i="4"/>
  <c r="F362" i="4"/>
  <c r="I362" i="4" s="1"/>
  <c r="H362" i="4" s="1"/>
  <c r="G362" i="4" s="1"/>
  <c r="H361" i="4"/>
  <c r="F361" i="4"/>
  <c r="H360" i="4"/>
  <c r="F360" i="4"/>
  <c r="H359" i="4"/>
  <c r="F359" i="4"/>
  <c r="AE358" i="4"/>
  <c r="P358" i="4"/>
  <c r="O358" i="4"/>
  <c r="N358" i="4"/>
  <c r="M358" i="4"/>
  <c r="L358" i="4"/>
  <c r="K358" i="4"/>
  <c r="J358" i="4"/>
  <c r="AD357" i="4"/>
  <c r="L356" i="4"/>
  <c r="L355" i="4" s="1"/>
  <c r="K356" i="4"/>
  <c r="F356" i="4"/>
  <c r="F355" i="4" s="1"/>
  <c r="AF355" i="4"/>
  <c r="P355" i="4"/>
  <c r="O355" i="4"/>
  <c r="N355" i="4"/>
  <c r="M355" i="4"/>
  <c r="J355" i="4"/>
  <c r="I355" i="4"/>
  <c r="H354" i="4"/>
  <c r="F354" i="4"/>
  <c r="H353" i="4"/>
  <c r="F353" i="4"/>
  <c r="H352" i="4"/>
  <c r="F352" i="4"/>
  <c r="H351" i="4"/>
  <c r="F351" i="4"/>
  <c r="H350" i="4"/>
  <c r="F350" i="4"/>
  <c r="H349" i="4"/>
  <c r="F349" i="4"/>
  <c r="H348" i="4"/>
  <c r="F348" i="4"/>
  <c r="AE347" i="4"/>
  <c r="AF347" i="4" s="1"/>
  <c r="P347" i="4"/>
  <c r="O347" i="4"/>
  <c r="N347" i="4"/>
  <c r="M347" i="4"/>
  <c r="L347" i="4"/>
  <c r="K347" i="4"/>
  <c r="J347" i="4"/>
  <c r="I347" i="4"/>
  <c r="H346" i="4"/>
  <c r="E346" i="4"/>
  <c r="F346" i="4" s="1"/>
  <c r="H345" i="4"/>
  <c r="E345" i="4"/>
  <c r="F345" i="4" s="1"/>
  <c r="H344" i="4"/>
  <c r="F344" i="4"/>
  <c r="L343" i="4"/>
  <c r="L342" i="4" s="1"/>
  <c r="K343" i="4"/>
  <c r="K342" i="4" s="1"/>
  <c r="F343" i="4"/>
  <c r="AE342" i="4"/>
  <c r="P342" i="4"/>
  <c r="O342" i="4"/>
  <c r="N342" i="4"/>
  <c r="M342" i="4"/>
  <c r="J342" i="4"/>
  <c r="I342" i="4"/>
  <c r="H341" i="4"/>
  <c r="F341" i="4"/>
  <c r="H340" i="4"/>
  <c r="F340" i="4"/>
  <c r="H339" i="4"/>
  <c r="E339" i="4"/>
  <c r="F339" i="4" s="1"/>
  <c r="H338" i="4"/>
  <c r="E338" i="4"/>
  <c r="F338" i="4" s="1"/>
  <c r="H337" i="4"/>
  <c r="F337" i="4"/>
  <c r="H336" i="4"/>
  <c r="E336" i="4"/>
  <c r="F336" i="4" s="1"/>
  <c r="AE335" i="4"/>
  <c r="AD335" i="4"/>
  <c r="P335" i="4"/>
  <c r="O335" i="4"/>
  <c r="N335" i="4"/>
  <c r="M335" i="4"/>
  <c r="L335" i="4"/>
  <c r="K335" i="4"/>
  <c r="J335" i="4"/>
  <c r="I335" i="4"/>
  <c r="J334" i="4"/>
  <c r="H334" i="4" s="1"/>
  <c r="F334" i="4"/>
  <c r="H333" i="4"/>
  <c r="F333" i="4"/>
  <c r="H332" i="4"/>
  <c r="F332" i="4"/>
  <c r="H331" i="4"/>
  <c r="F331" i="4"/>
  <c r="AE330" i="4"/>
  <c r="AF330" i="4" s="1"/>
  <c r="P330" i="4"/>
  <c r="O330" i="4"/>
  <c r="N330" i="4"/>
  <c r="M330" i="4"/>
  <c r="L330" i="4"/>
  <c r="K330" i="4"/>
  <c r="I330" i="4"/>
  <c r="H329" i="4"/>
  <c r="F329" i="4"/>
  <c r="H328" i="4"/>
  <c r="F328" i="4"/>
  <c r="H327" i="4"/>
  <c r="F327" i="4"/>
  <c r="H326" i="4"/>
  <c r="F326" i="4"/>
  <c r="AF325" i="4"/>
  <c r="P325" i="4"/>
  <c r="O325" i="4"/>
  <c r="N325" i="4"/>
  <c r="M325" i="4"/>
  <c r="L325" i="4"/>
  <c r="K325" i="4"/>
  <c r="J325" i="4"/>
  <c r="I325" i="4"/>
  <c r="AF323" i="4"/>
  <c r="H323" i="4"/>
  <c r="F323" i="4"/>
  <c r="AF322" i="4"/>
  <c r="H322" i="4"/>
  <c r="F322" i="4"/>
  <c r="AF321" i="4"/>
  <c r="H321" i="4"/>
  <c r="F321" i="4"/>
  <c r="AF320" i="4"/>
  <c r="H320" i="4"/>
  <c r="F320" i="4"/>
  <c r="AF319" i="4"/>
  <c r="H319" i="4"/>
  <c r="F319" i="4"/>
  <c r="AE318" i="4"/>
  <c r="AF318" i="4" s="1"/>
  <c r="H318" i="4"/>
  <c r="F318" i="4"/>
  <c r="AF317" i="4"/>
  <c r="H317" i="4"/>
  <c r="F317" i="4"/>
  <c r="AF316" i="4"/>
  <c r="H316" i="4"/>
  <c r="F316" i="4"/>
  <c r="AF315" i="4"/>
  <c r="H315" i="4"/>
  <c r="F315" i="4"/>
  <c r="AF314" i="4"/>
  <c r="H314" i="4"/>
  <c r="F314" i="4"/>
  <c r="AF313" i="4"/>
  <c r="H313" i="4"/>
  <c r="F313" i="4"/>
  <c r="AF312" i="4"/>
  <c r="H312" i="4"/>
  <c r="F312" i="4"/>
  <c r="H309" i="4"/>
  <c r="F309" i="4"/>
  <c r="H308" i="4"/>
  <c r="F308" i="4"/>
  <c r="H307" i="4"/>
  <c r="F307" i="4"/>
  <c r="H306" i="4"/>
  <c r="F306" i="4"/>
  <c r="AF305" i="4"/>
  <c r="P305" i="4"/>
  <c r="O305" i="4"/>
  <c r="N305" i="4"/>
  <c r="M305" i="4"/>
  <c r="L305" i="4"/>
  <c r="K305" i="4"/>
  <c r="J305" i="4"/>
  <c r="I305" i="4"/>
  <c r="H304" i="4"/>
  <c r="F304" i="4"/>
  <c r="H303" i="4"/>
  <c r="F303" i="4"/>
  <c r="H302" i="4"/>
  <c r="F302" i="4"/>
  <c r="AF301" i="4"/>
  <c r="P301" i="4"/>
  <c r="O301" i="4"/>
  <c r="N301" i="4"/>
  <c r="M301" i="4"/>
  <c r="L301" i="4"/>
  <c r="K301" i="4"/>
  <c r="J301" i="4"/>
  <c r="I301" i="4"/>
  <c r="H300" i="4"/>
  <c r="F300" i="4"/>
  <c r="I299" i="4"/>
  <c r="H299" i="4" s="1"/>
  <c r="F299" i="4"/>
  <c r="AF298" i="4"/>
  <c r="P298" i="4"/>
  <c r="O298" i="4"/>
  <c r="N298" i="4"/>
  <c r="M298" i="4"/>
  <c r="L298" i="4"/>
  <c r="K298" i="4"/>
  <c r="J298" i="4"/>
  <c r="H297" i="4"/>
  <c r="F297" i="4"/>
  <c r="H296" i="4"/>
  <c r="F296" i="4"/>
  <c r="AE295" i="4"/>
  <c r="AF295" i="4" s="1"/>
  <c r="P295" i="4"/>
  <c r="O295" i="4"/>
  <c r="N295" i="4"/>
  <c r="M295" i="4"/>
  <c r="L295" i="4"/>
  <c r="K295" i="4"/>
  <c r="J295" i="4"/>
  <c r="I295" i="4"/>
  <c r="H293" i="4"/>
  <c r="F293" i="4"/>
  <c r="H292" i="4"/>
  <c r="F292" i="4"/>
  <c r="AF291" i="4"/>
  <c r="P291" i="4"/>
  <c r="O291" i="4"/>
  <c r="N291" i="4"/>
  <c r="M291" i="4"/>
  <c r="L291" i="4"/>
  <c r="K291" i="4"/>
  <c r="J291" i="4"/>
  <c r="I291" i="4"/>
  <c r="H290" i="4"/>
  <c r="F290" i="4"/>
  <c r="H289" i="4"/>
  <c r="F289" i="4"/>
  <c r="H288" i="4"/>
  <c r="F288" i="4"/>
  <c r="H287" i="4"/>
  <c r="F287" i="4"/>
  <c r="AE286" i="4"/>
  <c r="AF286" i="4" s="1"/>
  <c r="P286" i="4"/>
  <c r="O286" i="4"/>
  <c r="N286" i="4"/>
  <c r="M286" i="4"/>
  <c r="L286" i="4"/>
  <c r="K286" i="4"/>
  <c r="J286" i="4"/>
  <c r="I286" i="4"/>
  <c r="H285" i="4"/>
  <c r="F285" i="4"/>
  <c r="H284" i="4"/>
  <c r="F284" i="4"/>
  <c r="H283" i="4"/>
  <c r="F283" i="4"/>
  <c r="H282" i="4"/>
  <c r="F282" i="4"/>
  <c r="AE281" i="4"/>
  <c r="AD281" i="4"/>
  <c r="AD268" i="4" s="1"/>
  <c r="P281" i="4"/>
  <c r="O281" i="4"/>
  <c r="N281" i="4"/>
  <c r="M281" i="4"/>
  <c r="L281" i="4"/>
  <c r="K281" i="4"/>
  <c r="J281" i="4"/>
  <c r="I281" i="4"/>
  <c r="H280" i="4"/>
  <c r="F280" i="4"/>
  <c r="H279" i="4"/>
  <c r="F279" i="4"/>
  <c r="AF278" i="4"/>
  <c r="P278" i="4"/>
  <c r="O278" i="4"/>
  <c r="N278" i="4"/>
  <c r="M278" i="4"/>
  <c r="L278" i="4"/>
  <c r="K278" i="4"/>
  <c r="J278" i="4"/>
  <c r="I278" i="4"/>
  <c r="H277" i="4"/>
  <c r="F277" i="4"/>
  <c r="H276" i="4"/>
  <c r="F276" i="4"/>
  <c r="H275" i="4"/>
  <c r="F275" i="4"/>
  <c r="AF274" i="4"/>
  <c r="P274" i="4"/>
  <c r="O274" i="4"/>
  <c r="N274" i="4"/>
  <c r="M274" i="4"/>
  <c r="L274" i="4"/>
  <c r="K274" i="4"/>
  <c r="J274" i="4"/>
  <c r="I274" i="4"/>
  <c r="H273" i="4"/>
  <c r="F273" i="4"/>
  <c r="H272" i="4"/>
  <c r="F272" i="4"/>
  <c r="H271" i="4"/>
  <c r="F271" i="4"/>
  <c r="H270" i="4"/>
  <c r="F270" i="4"/>
  <c r="AF269" i="4"/>
  <c r="P269" i="4"/>
  <c r="O269" i="4"/>
  <c r="N269" i="4"/>
  <c r="M269" i="4"/>
  <c r="L269" i="4"/>
  <c r="K269" i="4"/>
  <c r="J269" i="4"/>
  <c r="I269" i="4"/>
  <c r="F266" i="4"/>
  <c r="I266" i="4" s="1"/>
  <c r="H266" i="4" s="1"/>
  <c r="G266" i="4" s="1"/>
  <c r="F265" i="4"/>
  <c r="F264" i="4"/>
  <c r="I264" i="4" s="1"/>
  <c r="H264" i="4" s="1"/>
  <c r="G264" i="4" s="1"/>
  <c r="F263" i="4"/>
  <c r="I263" i="4" s="1"/>
  <c r="H263" i="4" s="1"/>
  <c r="G263" i="4" s="1"/>
  <c r="AE262" i="4"/>
  <c r="AD262" i="4"/>
  <c r="AD255" i="4" s="1"/>
  <c r="P262" i="4"/>
  <c r="O262" i="4"/>
  <c r="N262" i="4"/>
  <c r="M262" i="4"/>
  <c r="L262" i="4"/>
  <c r="K262" i="4"/>
  <c r="J262" i="4"/>
  <c r="H261" i="4"/>
  <c r="F261" i="4"/>
  <c r="F260" i="4"/>
  <c r="I260" i="4" s="1"/>
  <c r="AE259" i="4"/>
  <c r="AF259" i="4" s="1"/>
  <c r="P259" i="4"/>
  <c r="O259" i="4"/>
  <c r="N259" i="4"/>
  <c r="M259" i="4"/>
  <c r="L259" i="4"/>
  <c r="K259" i="4"/>
  <c r="J259" i="4"/>
  <c r="H258" i="4"/>
  <c r="F258" i="4"/>
  <c r="F257" i="4"/>
  <c r="AE256" i="4"/>
  <c r="AF256" i="4" s="1"/>
  <c r="O256" i="4"/>
  <c r="N256" i="4"/>
  <c r="M256" i="4"/>
  <c r="L256" i="4"/>
  <c r="K256" i="4"/>
  <c r="J256" i="4"/>
  <c r="H254" i="4"/>
  <c r="F254" i="4"/>
  <c r="H253" i="4"/>
  <c r="F253" i="4"/>
  <c r="AE252" i="4"/>
  <c r="AD252" i="4"/>
  <c r="P252" i="4"/>
  <c r="O252" i="4"/>
  <c r="N252" i="4"/>
  <c r="M252" i="4"/>
  <c r="L252" i="4"/>
  <c r="K252" i="4"/>
  <c r="J252" i="4"/>
  <c r="I252" i="4"/>
  <c r="H251" i="4"/>
  <c r="F251" i="4"/>
  <c r="H250" i="4"/>
  <c r="F250" i="4"/>
  <c r="AE249" i="4"/>
  <c r="AF249" i="4" s="1"/>
  <c r="P249" i="4"/>
  <c r="O249" i="4"/>
  <c r="N249" i="4"/>
  <c r="M249" i="4"/>
  <c r="L249" i="4"/>
  <c r="K249" i="4"/>
  <c r="J249" i="4"/>
  <c r="I249" i="4"/>
  <c r="H248" i="4"/>
  <c r="F248" i="4"/>
  <c r="H247" i="4"/>
  <c r="F247" i="4"/>
  <c r="H246" i="4"/>
  <c r="F246" i="4"/>
  <c r="H245" i="4"/>
  <c r="F245" i="4"/>
  <c r="H244" i="4"/>
  <c r="F244" i="4"/>
  <c r="H243" i="4"/>
  <c r="F243" i="4"/>
  <c r="H242" i="4"/>
  <c r="F242" i="4"/>
  <c r="H241" i="4"/>
  <c r="F241" i="4"/>
  <c r="H240" i="4"/>
  <c r="F240" i="4"/>
  <c r="H239" i="4"/>
  <c r="F239" i="4"/>
  <c r="AE238" i="4"/>
  <c r="AD238" i="4"/>
  <c r="P238" i="4"/>
  <c r="O238" i="4"/>
  <c r="N238" i="4"/>
  <c r="M238" i="4"/>
  <c r="L238" i="4"/>
  <c r="K238" i="4"/>
  <c r="J238" i="4"/>
  <c r="I238" i="4"/>
  <c r="H237" i="4"/>
  <c r="F237" i="4"/>
  <c r="H236" i="4"/>
  <c r="F236" i="4"/>
  <c r="H235" i="4"/>
  <c r="F235" i="4"/>
  <c r="H234" i="4"/>
  <c r="F234" i="4"/>
  <c r="H233" i="4"/>
  <c r="F233" i="4"/>
  <c r="AE232" i="4"/>
  <c r="AF232" i="4" s="1"/>
  <c r="P232" i="4"/>
  <c r="O232" i="4"/>
  <c r="N232" i="4"/>
  <c r="M232" i="4"/>
  <c r="L232" i="4"/>
  <c r="K232" i="4"/>
  <c r="J232" i="4"/>
  <c r="I232" i="4"/>
  <c r="H230" i="4"/>
  <c r="F230" i="4"/>
  <c r="F229" i="4" s="1"/>
  <c r="AF229" i="4"/>
  <c r="P229" i="4"/>
  <c r="O229" i="4"/>
  <c r="N229" i="4"/>
  <c r="M229" i="4"/>
  <c r="L229" i="4"/>
  <c r="K229" i="4"/>
  <c r="J229" i="4"/>
  <c r="I229" i="4"/>
  <c r="H228" i="4"/>
  <c r="F228" i="4"/>
  <c r="H227" i="4"/>
  <c r="F227" i="4"/>
  <c r="H226" i="4"/>
  <c r="F226" i="4"/>
  <c r="H225" i="4"/>
  <c r="F225" i="4"/>
  <c r="AE224" i="4"/>
  <c r="AF224" i="4" s="1"/>
  <c r="P224" i="4"/>
  <c r="O224" i="4"/>
  <c r="N224" i="4"/>
  <c r="M224" i="4"/>
  <c r="L224" i="4"/>
  <c r="K224" i="4"/>
  <c r="J224" i="4"/>
  <c r="I224" i="4"/>
  <c r="H223" i="4"/>
  <c r="F223" i="4"/>
  <c r="H222" i="4"/>
  <c r="F222" i="4"/>
  <c r="H221" i="4"/>
  <c r="F221" i="4"/>
  <c r="H220" i="4"/>
  <c r="F220" i="4"/>
  <c r="H219" i="4"/>
  <c r="F219" i="4"/>
  <c r="H218" i="4"/>
  <c r="F218" i="4"/>
  <c r="H217" i="4"/>
  <c r="E217" i="4"/>
  <c r="F217" i="4" s="1"/>
  <c r="H216" i="4"/>
  <c r="F216" i="4"/>
  <c r="H215" i="4"/>
  <c r="F215" i="4"/>
  <c r="H214" i="4"/>
  <c r="F214" i="4"/>
  <c r="H213" i="4"/>
  <c r="F213" i="4"/>
  <c r="H212" i="4"/>
  <c r="F212" i="4"/>
  <c r="AE211" i="4"/>
  <c r="AF211" i="4" s="1"/>
  <c r="P211" i="4"/>
  <c r="O211" i="4"/>
  <c r="N211" i="4"/>
  <c r="M211" i="4"/>
  <c r="L211" i="4"/>
  <c r="K211" i="4"/>
  <c r="J211" i="4"/>
  <c r="I211" i="4"/>
  <c r="AD210" i="4"/>
  <c r="J209" i="4"/>
  <c r="H209" i="4" s="1"/>
  <c r="E209" i="4"/>
  <c r="F209" i="4" s="1"/>
  <c r="F208" i="4" s="1"/>
  <c r="AF208" i="4"/>
  <c r="P208" i="4"/>
  <c r="O208" i="4"/>
  <c r="N208" i="4"/>
  <c r="M208" i="4"/>
  <c r="L208" i="4"/>
  <c r="K208" i="4"/>
  <c r="I208" i="4"/>
  <c r="H207" i="4"/>
  <c r="F207" i="4"/>
  <c r="H206" i="4"/>
  <c r="F206" i="4"/>
  <c r="H205" i="4"/>
  <c r="F205" i="4"/>
  <c r="AE204" i="4"/>
  <c r="P204" i="4"/>
  <c r="O204" i="4"/>
  <c r="N204" i="4"/>
  <c r="M204" i="4"/>
  <c r="L204" i="4"/>
  <c r="K204" i="4"/>
  <c r="J204" i="4"/>
  <c r="I204" i="4"/>
  <c r="H202" i="4"/>
  <c r="F202" i="4"/>
  <c r="H201" i="4"/>
  <c r="F201" i="4"/>
  <c r="H200" i="4"/>
  <c r="F200" i="4"/>
  <c r="H199" i="4"/>
  <c r="F199" i="4"/>
  <c r="H198" i="4"/>
  <c r="F198" i="4"/>
  <c r="AE197" i="4"/>
  <c r="AF197" i="4" s="1"/>
  <c r="P197" i="4"/>
  <c r="O197" i="4"/>
  <c r="N197" i="4"/>
  <c r="M197" i="4"/>
  <c r="L197" i="4"/>
  <c r="K197" i="4"/>
  <c r="J197" i="4"/>
  <c r="I197" i="4"/>
  <c r="H196" i="4"/>
  <c r="F196" i="4"/>
  <c r="H195" i="4"/>
  <c r="F195" i="4"/>
  <c r="H194" i="4"/>
  <c r="F194" i="4"/>
  <c r="J193" i="4"/>
  <c r="H193" i="4" s="1"/>
  <c r="F193" i="4"/>
  <c r="H192" i="4"/>
  <c r="F192" i="4"/>
  <c r="AE191" i="4"/>
  <c r="AF191" i="4" s="1"/>
  <c r="P191" i="4"/>
  <c r="O191" i="4"/>
  <c r="N191" i="4"/>
  <c r="M191" i="4"/>
  <c r="L191" i="4"/>
  <c r="K191" i="4"/>
  <c r="I191" i="4"/>
  <c r="H190" i="4"/>
  <c r="G190" i="4" s="1"/>
  <c r="J189" i="4"/>
  <c r="H189" i="4" s="1"/>
  <c r="F189" i="4"/>
  <c r="F188" i="4" s="1"/>
  <c r="AE188" i="4"/>
  <c r="P188" i="4"/>
  <c r="O188" i="4"/>
  <c r="N188" i="4"/>
  <c r="M188" i="4"/>
  <c r="L188" i="4"/>
  <c r="K188" i="4"/>
  <c r="I188" i="4"/>
  <c r="H187" i="4"/>
  <c r="F187" i="4"/>
  <c r="H186" i="4"/>
  <c r="F186" i="4"/>
  <c r="AE185" i="4"/>
  <c r="AF185" i="4" s="1"/>
  <c r="P185" i="4"/>
  <c r="O185" i="4"/>
  <c r="N185" i="4"/>
  <c r="M185" i="4"/>
  <c r="L185" i="4"/>
  <c r="K185" i="4"/>
  <c r="J185" i="4"/>
  <c r="I185" i="4"/>
  <c r="H184" i="4"/>
  <c r="F184" i="4"/>
  <c r="H183" i="4"/>
  <c r="F183" i="4"/>
  <c r="H182" i="4"/>
  <c r="F182" i="4"/>
  <c r="AE181" i="4"/>
  <c r="AF181" i="4" s="1"/>
  <c r="P181" i="4"/>
  <c r="O181" i="4"/>
  <c r="N181" i="4"/>
  <c r="M181" i="4"/>
  <c r="L181" i="4"/>
  <c r="K181" i="4"/>
  <c r="J181" i="4"/>
  <c r="I181" i="4"/>
  <c r="H180" i="4"/>
  <c r="G180" i="4" s="1"/>
  <c r="H179" i="4"/>
  <c r="F179" i="4"/>
  <c r="H178" i="4"/>
  <c r="F178" i="4"/>
  <c r="H177" i="4"/>
  <c r="F177" i="4"/>
  <c r="H176" i="4"/>
  <c r="F176" i="4"/>
  <c r="AE175" i="4"/>
  <c r="AF175" i="4" s="1"/>
  <c r="P175" i="4"/>
  <c r="O175" i="4"/>
  <c r="N175" i="4"/>
  <c r="M175" i="4"/>
  <c r="L175" i="4"/>
  <c r="K175" i="4"/>
  <c r="J175" i="4"/>
  <c r="I175" i="4"/>
  <c r="H174" i="4"/>
  <c r="F174" i="4"/>
  <c r="H173" i="4"/>
  <c r="F173" i="4"/>
  <c r="H172" i="4"/>
  <c r="F172" i="4"/>
  <c r="H171" i="4"/>
  <c r="F171" i="4"/>
  <c r="H170" i="4"/>
  <c r="F170" i="4"/>
  <c r="AE169" i="4"/>
  <c r="AF169" i="4" s="1"/>
  <c r="P169" i="4"/>
  <c r="O169" i="4"/>
  <c r="N169" i="4"/>
  <c r="M169" i="4"/>
  <c r="L169" i="4"/>
  <c r="K169" i="4"/>
  <c r="J169" i="4"/>
  <c r="I169" i="4"/>
  <c r="AD168" i="4"/>
  <c r="H167" i="4"/>
  <c r="F167" i="4"/>
  <c r="H166" i="4"/>
  <c r="F166" i="4"/>
  <c r="AF165" i="4"/>
  <c r="P165" i="4"/>
  <c r="O165" i="4"/>
  <c r="N165" i="4"/>
  <c r="M165" i="4"/>
  <c r="L165" i="4"/>
  <c r="K165" i="4"/>
  <c r="J165" i="4"/>
  <c r="I165" i="4"/>
  <c r="H164" i="4"/>
  <c r="F164" i="4"/>
  <c r="J163" i="4"/>
  <c r="H163" i="4" s="1"/>
  <c r="F163" i="4"/>
  <c r="H162" i="4"/>
  <c r="F162" i="4"/>
  <c r="H161" i="4"/>
  <c r="F161" i="4"/>
  <c r="AE160" i="4"/>
  <c r="AF160" i="4" s="1"/>
  <c r="P160" i="4"/>
  <c r="O160" i="4"/>
  <c r="N160" i="4"/>
  <c r="M160" i="4"/>
  <c r="L160" i="4"/>
  <c r="K160" i="4"/>
  <c r="I160" i="4"/>
  <c r="H159" i="4"/>
  <c r="F159" i="4"/>
  <c r="H158" i="4"/>
  <c r="F158" i="4"/>
  <c r="H157" i="4"/>
  <c r="F157" i="4"/>
  <c r="K156" i="4"/>
  <c r="K155" i="4" s="1"/>
  <c r="J156" i="4"/>
  <c r="J155" i="4" s="1"/>
  <c r="F156" i="4"/>
  <c r="AE155" i="4"/>
  <c r="AD155" i="4"/>
  <c r="P155" i="4"/>
  <c r="O155" i="4"/>
  <c r="N155" i="4"/>
  <c r="M155" i="4"/>
  <c r="L155" i="4"/>
  <c r="I155" i="4"/>
  <c r="H154" i="4"/>
  <c r="F154" i="4"/>
  <c r="H153" i="4"/>
  <c r="F153" i="4"/>
  <c r="AE152" i="4"/>
  <c r="AF152" i="4" s="1"/>
  <c r="P152" i="4"/>
  <c r="O152" i="4"/>
  <c r="N152" i="4"/>
  <c r="M152" i="4"/>
  <c r="L152" i="4"/>
  <c r="K152" i="4"/>
  <c r="J152" i="4"/>
  <c r="I152" i="4"/>
  <c r="F150" i="4"/>
  <c r="I150" i="4" s="1"/>
  <c r="H150" i="4" s="1"/>
  <c r="G150" i="4" s="1"/>
  <c r="F149" i="4"/>
  <c r="I149" i="4" s="1"/>
  <c r="H149" i="4" s="1"/>
  <c r="G149" i="4" s="1"/>
  <c r="F148" i="4"/>
  <c r="F147" i="4"/>
  <c r="I147" i="4" s="1"/>
  <c r="H147" i="4" s="1"/>
  <c r="G147" i="4" s="1"/>
  <c r="AF146" i="4"/>
  <c r="P146" i="4"/>
  <c r="O146" i="4"/>
  <c r="N146" i="4"/>
  <c r="M146" i="4"/>
  <c r="L146" i="4"/>
  <c r="K146" i="4"/>
  <c r="J146" i="4"/>
  <c r="F145" i="4"/>
  <c r="I145" i="4" s="1"/>
  <c r="H145" i="4" s="1"/>
  <c r="G145" i="4" s="1"/>
  <c r="F144" i="4"/>
  <c r="I144" i="4" s="1"/>
  <c r="H144" i="4" s="1"/>
  <c r="G144" i="4" s="1"/>
  <c r="F143" i="4"/>
  <c r="I143" i="4" s="1"/>
  <c r="H143" i="4" s="1"/>
  <c r="G143" i="4" s="1"/>
  <c r="F142" i="4"/>
  <c r="I142" i="4" s="1"/>
  <c r="AE141" i="4"/>
  <c r="AF141" i="4" s="1"/>
  <c r="P141" i="4"/>
  <c r="O141" i="4"/>
  <c r="N141" i="4"/>
  <c r="M141" i="4"/>
  <c r="L141" i="4"/>
  <c r="K141" i="4"/>
  <c r="J141" i="4"/>
  <c r="F140" i="4"/>
  <c r="I140" i="4" s="1"/>
  <c r="H140" i="4" s="1"/>
  <c r="G140" i="4" s="1"/>
  <c r="F139" i="4"/>
  <c r="I139" i="4" s="1"/>
  <c r="H139" i="4" s="1"/>
  <c r="G139" i="4" s="1"/>
  <c r="F138" i="4"/>
  <c r="I138" i="4" s="1"/>
  <c r="H138" i="4" s="1"/>
  <c r="G138" i="4" s="1"/>
  <c r="F137" i="4"/>
  <c r="I137" i="4" s="1"/>
  <c r="H137" i="4" s="1"/>
  <c r="G137" i="4" s="1"/>
  <c r="F136" i="4"/>
  <c r="I136" i="4" s="1"/>
  <c r="H136" i="4" s="1"/>
  <c r="G136" i="4" s="1"/>
  <c r="F135" i="4"/>
  <c r="I135" i="4" s="1"/>
  <c r="H135" i="4" s="1"/>
  <c r="G135" i="4" s="1"/>
  <c r="F134" i="4"/>
  <c r="I134" i="4" s="1"/>
  <c r="H134" i="4" s="1"/>
  <c r="G134" i="4" s="1"/>
  <c r="F133" i="4"/>
  <c r="I133" i="4" s="1"/>
  <c r="H133" i="4" s="1"/>
  <c r="G133" i="4" s="1"/>
  <c r="F132" i="4"/>
  <c r="I132" i="4" s="1"/>
  <c r="H132" i="4" s="1"/>
  <c r="G132" i="4" s="1"/>
  <c r="F131" i="4"/>
  <c r="I131" i="4" s="1"/>
  <c r="AF130" i="4"/>
  <c r="P130" i="4"/>
  <c r="O130" i="4"/>
  <c r="N130" i="4"/>
  <c r="M130" i="4"/>
  <c r="L130" i="4"/>
  <c r="K130" i="4"/>
  <c r="J130" i="4"/>
  <c r="F129" i="4"/>
  <c r="Q129" i="4" s="1"/>
  <c r="R129" i="4" s="1"/>
  <c r="F128" i="4"/>
  <c r="Q128" i="4" s="1"/>
  <c r="R128" i="4" s="1"/>
  <c r="H127" i="4"/>
  <c r="F127" i="4"/>
  <c r="AE126" i="4"/>
  <c r="AF126" i="4" s="1"/>
  <c r="P126" i="4"/>
  <c r="O126" i="4"/>
  <c r="N126" i="4"/>
  <c r="M126" i="4"/>
  <c r="L126" i="4"/>
  <c r="K126" i="4"/>
  <c r="J126" i="4"/>
  <c r="I126" i="4"/>
  <c r="H125" i="4"/>
  <c r="F125" i="4"/>
  <c r="H124" i="4"/>
  <c r="F124" i="4"/>
  <c r="H123" i="4"/>
  <c r="F123" i="4"/>
  <c r="AE122" i="4"/>
  <c r="P122" i="4"/>
  <c r="O122" i="4"/>
  <c r="N122" i="4"/>
  <c r="M122" i="4"/>
  <c r="L122" i="4"/>
  <c r="K122" i="4"/>
  <c r="J122" i="4"/>
  <c r="I122" i="4"/>
  <c r="H121" i="4"/>
  <c r="F121" i="4"/>
  <c r="H120" i="4"/>
  <c r="F120" i="4"/>
  <c r="H119" i="4"/>
  <c r="F119" i="4"/>
  <c r="AF118" i="4"/>
  <c r="P118" i="4"/>
  <c r="O118" i="4"/>
  <c r="N118" i="4"/>
  <c r="M118" i="4"/>
  <c r="L118" i="4"/>
  <c r="K118" i="4"/>
  <c r="J118" i="4"/>
  <c r="I118" i="4"/>
  <c r="H117" i="4"/>
  <c r="F117" i="4"/>
  <c r="H116" i="4"/>
  <c r="F116" i="4"/>
  <c r="H115" i="4"/>
  <c r="F115" i="4"/>
  <c r="AE114" i="4"/>
  <c r="P114" i="4"/>
  <c r="O114" i="4"/>
  <c r="N114" i="4"/>
  <c r="M114" i="4"/>
  <c r="L114" i="4"/>
  <c r="K114" i="4"/>
  <c r="J114" i="4"/>
  <c r="I114" i="4"/>
  <c r="H113" i="4"/>
  <c r="F113" i="4"/>
  <c r="H112" i="4"/>
  <c r="F112" i="4"/>
  <c r="H111" i="4"/>
  <c r="F111" i="4"/>
  <c r="AF110" i="4"/>
  <c r="P110" i="4"/>
  <c r="O110" i="4"/>
  <c r="N110" i="4"/>
  <c r="M110" i="4"/>
  <c r="L110" i="4"/>
  <c r="K110" i="4"/>
  <c r="J110" i="4"/>
  <c r="I110" i="4"/>
  <c r="H109" i="4"/>
  <c r="F109" i="4"/>
  <c r="H108" i="4"/>
  <c r="F108" i="4"/>
  <c r="H107" i="4"/>
  <c r="F107" i="4"/>
  <c r="AF106" i="4"/>
  <c r="P106" i="4"/>
  <c r="O106" i="4"/>
  <c r="N106" i="4"/>
  <c r="M106" i="4"/>
  <c r="L106" i="4"/>
  <c r="K106" i="4"/>
  <c r="J106" i="4"/>
  <c r="I106" i="4"/>
  <c r="H105" i="4"/>
  <c r="F105" i="4"/>
  <c r="H104" i="4"/>
  <c r="F104" i="4"/>
  <c r="H103" i="4"/>
  <c r="F103" i="4"/>
  <c r="H102" i="4"/>
  <c r="F102" i="4"/>
  <c r="AF101" i="4"/>
  <c r="P101" i="4"/>
  <c r="O101" i="4"/>
  <c r="N101" i="4"/>
  <c r="M101" i="4"/>
  <c r="L101" i="4"/>
  <c r="K101" i="4"/>
  <c r="J101" i="4"/>
  <c r="I101" i="4"/>
  <c r="H100" i="4"/>
  <c r="F100" i="4"/>
  <c r="H99" i="4"/>
  <c r="F99" i="4"/>
  <c r="H98" i="4"/>
  <c r="F98" i="4"/>
  <c r="H97" i="4"/>
  <c r="F97" i="4"/>
  <c r="H96" i="4"/>
  <c r="F96" i="4"/>
  <c r="H95" i="4"/>
  <c r="F95" i="4"/>
  <c r="AE94" i="4"/>
  <c r="AF94" i="4" s="1"/>
  <c r="P94" i="4"/>
  <c r="O94" i="4"/>
  <c r="N94" i="4"/>
  <c r="M94" i="4"/>
  <c r="L94" i="4"/>
  <c r="K94" i="4"/>
  <c r="J94" i="4"/>
  <c r="I94" i="4"/>
  <c r="H93" i="4"/>
  <c r="F93" i="4"/>
  <c r="H92" i="4"/>
  <c r="F92" i="4"/>
  <c r="H91" i="4"/>
  <c r="F91" i="4"/>
  <c r="H90" i="4"/>
  <c r="F90" i="4"/>
  <c r="H89" i="4"/>
  <c r="F89" i="4"/>
  <c r="H88" i="4"/>
  <c r="F88" i="4"/>
  <c r="AE87" i="4"/>
  <c r="AF87" i="4" s="1"/>
  <c r="P87" i="4"/>
  <c r="O87" i="4"/>
  <c r="N87" i="4"/>
  <c r="M87" i="4"/>
  <c r="L87" i="4"/>
  <c r="K87" i="4"/>
  <c r="J87" i="4"/>
  <c r="I87" i="4"/>
  <c r="AD86" i="4"/>
  <c r="H83" i="4"/>
  <c r="F83" i="4"/>
  <c r="H82" i="4"/>
  <c r="F82" i="4"/>
  <c r="H81" i="4"/>
  <c r="F81" i="4"/>
  <c r="AE80" i="4"/>
  <c r="AF80" i="4" s="1"/>
  <c r="P80" i="4"/>
  <c r="O80" i="4"/>
  <c r="N80" i="4"/>
  <c r="M80" i="4"/>
  <c r="L80" i="4"/>
  <c r="K80" i="4"/>
  <c r="J80" i="4"/>
  <c r="I80" i="4"/>
  <c r="H79" i="4"/>
  <c r="F79" i="4"/>
  <c r="H78" i="4"/>
  <c r="F78" i="4"/>
  <c r="AE77" i="4"/>
  <c r="AF77" i="4" s="1"/>
  <c r="P77" i="4"/>
  <c r="O77" i="4"/>
  <c r="N77" i="4"/>
  <c r="M77" i="4"/>
  <c r="L77" i="4"/>
  <c r="K77" i="4"/>
  <c r="J77" i="4"/>
  <c r="I77" i="4"/>
  <c r="H76" i="4"/>
  <c r="F76" i="4"/>
  <c r="H75" i="4"/>
  <c r="F75" i="4"/>
  <c r="H74" i="4"/>
  <c r="F74" i="4"/>
  <c r="H73" i="4"/>
  <c r="F73" i="4"/>
  <c r="H72" i="4"/>
  <c r="F72" i="4"/>
  <c r="AF71" i="4"/>
  <c r="P71" i="4"/>
  <c r="O71" i="4"/>
  <c r="N71" i="4"/>
  <c r="M71" i="4"/>
  <c r="L71" i="4"/>
  <c r="K71" i="4"/>
  <c r="J71" i="4"/>
  <c r="I71" i="4"/>
  <c r="H70" i="4"/>
  <c r="F70" i="4"/>
  <c r="H69" i="4"/>
  <c r="F69" i="4"/>
  <c r="H68" i="4"/>
  <c r="F68" i="4"/>
  <c r="H67" i="4"/>
  <c r="F67" i="4"/>
  <c r="H66" i="4"/>
  <c r="F66" i="4"/>
  <c r="AF65" i="4"/>
  <c r="P65" i="4"/>
  <c r="O65" i="4"/>
  <c r="N65" i="4"/>
  <c r="M65" i="4"/>
  <c r="L65" i="4"/>
  <c r="K65" i="4"/>
  <c r="J65" i="4"/>
  <c r="I65" i="4"/>
  <c r="H64" i="4"/>
  <c r="F64" i="4"/>
  <c r="F63" i="4"/>
  <c r="I63" i="4" s="1"/>
  <c r="H63" i="4" s="1"/>
  <c r="G63" i="4" s="1"/>
  <c r="E62" i="4"/>
  <c r="F62" i="4" s="1"/>
  <c r="I62" i="4" s="1"/>
  <c r="P61" i="4"/>
  <c r="O61" i="4"/>
  <c r="N61" i="4"/>
  <c r="M61" i="4"/>
  <c r="L61" i="4"/>
  <c r="K61" i="4"/>
  <c r="J61" i="4"/>
  <c r="H60" i="4"/>
  <c r="F60" i="4"/>
  <c r="H59" i="4"/>
  <c r="F59" i="4"/>
  <c r="F58" i="4"/>
  <c r="G58" i="4" s="1"/>
  <c r="H57" i="4"/>
  <c r="F57" i="4"/>
  <c r="AF56" i="4"/>
  <c r="P56" i="4"/>
  <c r="O56" i="4"/>
  <c r="N56" i="4"/>
  <c r="M56" i="4"/>
  <c r="L56" i="4"/>
  <c r="K56" i="4"/>
  <c r="J56" i="4"/>
  <c r="I56" i="4"/>
  <c r="H55" i="4"/>
  <c r="F55" i="4"/>
  <c r="H54" i="4"/>
  <c r="F54" i="4"/>
  <c r="H53" i="4"/>
  <c r="F53" i="4"/>
  <c r="H52" i="4"/>
  <c r="F52" i="4"/>
  <c r="H51" i="4"/>
  <c r="F51" i="4"/>
  <c r="AF50" i="4"/>
  <c r="P50" i="4"/>
  <c r="O50" i="4"/>
  <c r="N50" i="4"/>
  <c r="M50" i="4"/>
  <c r="L50" i="4"/>
  <c r="K50" i="4"/>
  <c r="J50" i="4"/>
  <c r="I50" i="4"/>
  <c r="H49" i="4"/>
  <c r="F49" i="4"/>
  <c r="H48" i="4"/>
  <c r="F48" i="4"/>
  <c r="H47" i="4"/>
  <c r="F47" i="4"/>
  <c r="H46" i="4"/>
  <c r="F46" i="4"/>
  <c r="H45" i="4"/>
  <c r="F45" i="4"/>
  <c r="H44" i="4"/>
  <c r="F44" i="4"/>
  <c r="AE43" i="4"/>
  <c r="AF43" i="4" s="1"/>
  <c r="P43" i="4"/>
  <c r="O43" i="4"/>
  <c r="N43" i="4"/>
  <c r="M43" i="4"/>
  <c r="L43" i="4"/>
  <c r="K43" i="4"/>
  <c r="J43" i="4"/>
  <c r="I43" i="4"/>
  <c r="F42" i="4"/>
  <c r="I42" i="4" s="1"/>
  <c r="H42" i="4" s="1"/>
  <c r="G42" i="4" s="1"/>
  <c r="F41" i="4"/>
  <c r="I41" i="4" s="1"/>
  <c r="H40" i="4"/>
  <c r="F40" i="4"/>
  <c r="H39" i="4"/>
  <c r="F39" i="4"/>
  <c r="AE38" i="4"/>
  <c r="AF38" i="4" s="1"/>
  <c r="P38" i="4"/>
  <c r="O38" i="4"/>
  <c r="N38" i="4"/>
  <c r="M38" i="4"/>
  <c r="L38" i="4"/>
  <c r="K38" i="4"/>
  <c r="J38" i="4"/>
  <c r="AD37" i="4"/>
  <c r="I36" i="4"/>
  <c r="I35" i="4"/>
  <c r="H35" i="4" s="1"/>
  <c r="G35" i="4" s="1"/>
  <c r="P34" i="4"/>
  <c r="O34" i="4"/>
  <c r="N34" i="4"/>
  <c r="M34" i="4"/>
  <c r="L34" i="4"/>
  <c r="K34" i="4"/>
  <c r="J34" i="4"/>
  <c r="F34" i="4"/>
  <c r="I33" i="4"/>
  <c r="I32" i="4"/>
  <c r="H32" i="4" s="1"/>
  <c r="G32" i="4" s="1"/>
  <c r="AF31" i="4"/>
  <c r="P31" i="4"/>
  <c r="O31" i="4"/>
  <c r="N31" i="4"/>
  <c r="M31" i="4"/>
  <c r="L31" i="4"/>
  <c r="K31" i="4"/>
  <c r="J31" i="4"/>
  <c r="F31" i="4"/>
  <c r="I30" i="4"/>
  <c r="H30" i="4" s="1"/>
  <c r="G30" i="4" s="1"/>
  <c r="I29" i="4"/>
  <c r="H29" i="4" s="1"/>
  <c r="G29" i="4" s="1"/>
  <c r="AF28" i="4"/>
  <c r="P28" i="4"/>
  <c r="O28" i="4"/>
  <c r="N28" i="4"/>
  <c r="M28" i="4"/>
  <c r="L28" i="4"/>
  <c r="K28" i="4"/>
  <c r="J28" i="4"/>
  <c r="F28" i="4"/>
  <c r="I27" i="4"/>
  <c r="H27" i="4" s="1"/>
  <c r="G27" i="4" s="1"/>
  <c r="I26" i="4"/>
  <c r="I25" i="4"/>
  <c r="H25" i="4" s="1"/>
  <c r="G25" i="4" s="1"/>
  <c r="AF24" i="4"/>
  <c r="P24" i="4"/>
  <c r="O24" i="4"/>
  <c r="N24" i="4"/>
  <c r="M24" i="4"/>
  <c r="L24" i="4"/>
  <c r="K24" i="4"/>
  <c r="J24" i="4"/>
  <c r="F24" i="4"/>
  <c r="AE23" i="4"/>
  <c r="AD23" i="4"/>
  <c r="F22" i="4"/>
  <c r="I22" i="4" s="1"/>
  <c r="H22" i="4" s="1"/>
  <c r="G22" i="4" s="1"/>
  <c r="F21" i="4"/>
  <c r="I21" i="4" s="1"/>
  <c r="H21" i="4" s="1"/>
  <c r="G21" i="4" s="1"/>
  <c r="H20" i="4"/>
  <c r="F20" i="4"/>
  <c r="F19" i="4"/>
  <c r="I19" i="4" s="1"/>
  <c r="H19" i="4" s="1"/>
  <c r="G19" i="4" s="1"/>
  <c r="F18" i="4"/>
  <c r="I18" i="4" s="1"/>
  <c r="AF17" i="4"/>
  <c r="P17" i="4"/>
  <c r="O17" i="4"/>
  <c r="N17" i="4"/>
  <c r="M17" i="4"/>
  <c r="L17" i="4"/>
  <c r="K17" i="4"/>
  <c r="J17" i="4"/>
  <c r="F16" i="4"/>
  <c r="I16" i="4" s="1"/>
  <c r="H16" i="4" s="1"/>
  <c r="G16" i="4" s="1"/>
  <c r="H15" i="4"/>
  <c r="F15" i="4"/>
  <c r="F14" i="4"/>
  <c r="I14" i="4" s="1"/>
  <c r="H14" i="4" s="1"/>
  <c r="G14" i="4" s="1"/>
  <c r="F13" i="4"/>
  <c r="I13" i="4" s="1"/>
  <c r="H13" i="4" s="1"/>
  <c r="G13" i="4" s="1"/>
  <c r="F12" i="4"/>
  <c r="I12" i="4" s="1"/>
  <c r="H12" i="4" s="1"/>
  <c r="G12" i="4" s="1"/>
  <c r="F11" i="4"/>
  <c r="I11" i="4" s="1"/>
  <c r="H11" i="4" s="1"/>
  <c r="G11" i="4" s="1"/>
  <c r="F10" i="4"/>
  <c r="I10" i="4" s="1"/>
  <c r="H10" i="4" s="1"/>
  <c r="G10" i="4" s="1"/>
  <c r="F9" i="4"/>
  <c r="I9" i="4" s="1"/>
  <c r="H9" i="4" s="1"/>
  <c r="G9" i="4" s="1"/>
  <c r="F8" i="4"/>
  <c r="I8" i="4" s="1"/>
  <c r="H8" i="4" s="1"/>
  <c r="G8" i="4" s="1"/>
  <c r="F7" i="4"/>
  <c r="I7" i="4" s="1"/>
  <c r="AE6" i="4"/>
  <c r="AF6" i="4" s="1"/>
  <c r="P6" i="4"/>
  <c r="O6" i="4"/>
  <c r="N6" i="4"/>
  <c r="M6" i="4"/>
  <c r="L6" i="4"/>
  <c r="K6" i="4"/>
  <c r="J6" i="4"/>
  <c r="AD5" i="4"/>
  <c r="X377" i="4" l="1"/>
  <c r="S545" i="4"/>
  <c r="S533" i="4"/>
  <c r="S559" i="4"/>
  <c r="S463" i="4"/>
  <c r="S529" i="4"/>
  <c r="S537" i="4"/>
  <c r="S554" i="4"/>
  <c r="S562" i="4"/>
  <c r="S555" i="4"/>
  <c r="S563" i="4"/>
  <c r="S527" i="4"/>
  <c r="S535" i="4"/>
  <c r="S553" i="4"/>
  <c r="S561" i="4"/>
  <c r="S570" i="4"/>
  <c r="S531" i="4"/>
  <c r="S566" i="4"/>
  <c r="AA210" i="4"/>
  <c r="AA231" i="4"/>
  <c r="V579" i="4"/>
  <c r="T579" i="4" s="1"/>
  <c r="S579" i="4" s="1"/>
  <c r="V377" i="4"/>
  <c r="Y23" i="4"/>
  <c r="AC23" i="4"/>
  <c r="AB37" i="4"/>
  <c r="Y210" i="4"/>
  <c r="Y231" i="4"/>
  <c r="Z482" i="4"/>
  <c r="AE5" i="4"/>
  <c r="AF5" i="4" s="1"/>
  <c r="V508" i="4"/>
  <c r="T508" i="4" s="1"/>
  <c r="AA23" i="4"/>
  <c r="X37" i="4"/>
  <c r="X482" i="4"/>
  <c r="Y268" i="4"/>
  <c r="S543" i="4"/>
  <c r="S567" i="4"/>
  <c r="S571" i="4"/>
  <c r="S528" i="4"/>
  <c r="S532" i="4"/>
  <c r="S536" i="4"/>
  <c r="R262" i="4"/>
  <c r="S265" i="4"/>
  <c r="R355" i="4"/>
  <c r="S356" i="4"/>
  <c r="S22" i="4"/>
  <c r="T43" i="4"/>
  <c r="S63" i="4"/>
  <c r="T87" i="4"/>
  <c r="T110" i="4"/>
  <c r="S134" i="4"/>
  <c r="S138" i="4"/>
  <c r="S143" i="4"/>
  <c r="S148" i="4"/>
  <c r="T155" i="4"/>
  <c r="T175" i="4"/>
  <c r="T191" i="4"/>
  <c r="T224" i="4"/>
  <c r="T249" i="4"/>
  <c r="T278" i="4"/>
  <c r="T295" i="4"/>
  <c r="T325" i="4"/>
  <c r="T347" i="4"/>
  <c r="T367" i="4"/>
  <c r="U378" i="4"/>
  <c r="T378" i="4" s="1"/>
  <c r="T382" i="4"/>
  <c r="S382" i="4" s="1"/>
  <c r="T398" i="4"/>
  <c r="T418" i="4"/>
  <c r="T439" i="4"/>
  <c r="T477" i="4"/>
  <c r="T492" i="4"/>
  <c r="T520" i="4"/>
  <c r="G4" i="6"/>
  <c r="AV4" i="6"/>
  <c r="S128" i="4"/>
  <c r="T50" i="4"/>
  <c r="T65" i="4"/>
  <c r="T94" i="4"/>
  <c r="T114" i="4"/>
  <c r="S131" i="4"/>
  <c r="S135" i="4"/>
  <c r="S139" i="4"/>
  <c r="S144" i="4"/>
  <c r="T160" i="4"/>
  <c r="T181" i="4"/>
  <c r="T204" i="4"/>
  <c r="T229" i="4"/>
  <c r="T252" i="4"/>
  <c r="T281" i="4"/>
  <c r="T298" i="4"/>
  <c r="T330" i="4"/>
  <c r="T355" i="4"/>
  <c r="T370" i="4"/>
  <c r="T383" i="4"/>
  <c r="T401" i="4"/>
  <c r="T426" i="4"/>
  <c r="T443" i="4"/>
  <c r="T465" i="4"/>
  <c r="T480" i="4"/>
  <c r="T495" i="4"/>
  <c r="T512" i="4"/>
  <c r="G262" i="6"/>
  <c r="AV262" i="6"/>
  <c r="S129" i="4"/>
  <c r="T56" i="4"/>
  <c r="T71" i="4"/>
  <c r="T101" i="4"/>
  <c r="T118" i="4"/>
  <c r="S132" i="4"/>
  <c r="S136" i="4"/>
  <c r="S140" i="4"/>
  <c r="S145" i="4"/>
  <c r="T165" i="4"/>
  <c r="T185" i="4"/>
  <c r="T208" i="4"/>
  <c r="T232" i="4"/>
  <c r="U259" i="4"/>
  <c r="T259" i="4" s="1"/>
  <c r="T260" i="4"/>
  <c r="S260" i="4" s="1"/>
  <c r="T269" i="4"/>
  <c r="T286" i="4"/>
  <c r="T301" i="4"/>
  <c r="T335" i="4"/>
  <c r="T358" i="4"/>
  <c r="T373" i="4"/>
  <c r="S373" i="4" s="1"/>
  <c r="T388" i="4"/>
  <c r="T406" i="4"/>
  <c r="T431" i="4"/>
  <c r="T453" i="4"/>
  <c r="T468" i="4"/>
  <c r="T483" i="4"/>
  <c r="T500" i="4"/>
  <c r="U514" i="4"/>
  <c r="T514" i="4" s="1"/>
  <c r="T515" i="4"/>
  <c r="S515" i="4" s="1"/>
  <c r="S4" i="6"/>
  <c r="AT4" i="6"/>
  <c r="R447" i="4"/>
  <c r="S447" i="4" s="1"/>
  <c r="S449" i="4"/>
  <c r="S21" i="4"/>
  <c r="S42" i="4"/>
  <c r="S62" i="4"/>
  <c r="T77" i="4"/>
  <c r="T106" i="4"/>
  <c r="T122" i="4"/>
  <c r="S133" i="4"/>
  <c r="S137" i="4"/>
  <c r="S142" i="4"/>
  <c r="T152" i="4"/>
  <c r="T169" i="4"/>
  <c r="T188" i="4"/>
  <c r="T211" i="4"/>
  <c r="T238" i="4"/>
  <c r="T274" i="4"/>
  <c r="T291" i="4"/>
  <c r="T305" i="4"/>
  <c r="T342" i="4"/>
  <c r="T363" i="4"/>
  <c r="T375" i="4"/>
  <c r="T392" i="4"/>
  <c r="T414" i="4"/>
  <c r="T434" i="4"/>
  <c r="T456" i="4"/>
  <c r="T471" i="4"/>
  <c r="T488" i="4"/>
  <c r="T503" i="4"/>
  <c r="T517" i="4"/>
  <c r="U575" i="4"/>
  <c r="T575" i="4" s="1"/>
  <c r="T576" i="4"/>
  <c r="S576" i="4" s="1"/>
  <c r="S262" i="6"/>
  <c r="AT262" i="6"/>
  <c r="F278" i="4"/>
  <c r="F291" i="4"/>
  <c r="F447" i="4"/>
  <c r="V268" i="4"/>
  <c r="H356" i="4"/>
  <c r="G356" i="4" s="1"/>
  <c r="F106" i="4"/>
  <c r="W268" i="4"/>
  <c r="AA268" i="4"/>
  <c r="R197" i="4"/>
  <c r="S197" i="4" s="1"/>
  <c r="G386" i="4"/>
  <c r="U262" i="4"/>
  <c r="T262" i="4" s="1"/>
  <c r="W86" i="4"/>
  <c r="AA86" i="4"/>
  <c r="Z255" i="4"/>
  <c r="AA377" i="4"/>
  <c r="F101" i="4"/>
  <c r="F155" i="4"/>
  <c r="G157" i="4"/>
  <c r="G159" i="4"/>
  <c r="M151" i="4"/>
  <c r="G164" i="4"/>
  <c r="F358" i="4"/>
  <c r="W5" i="4"/>
  <c r="AB5" i="4"/>
  <c r="AF155" i="4"/>
  <c r="W255" i="4"/>
  <c r="AA255" i="4"/>
  <c r="AA5" i="4"/>
  <c r="Z519" i="4"/>
  <c r="G60" i="4"/>
  <c r="G69" i="4"/>
  <c r="G88" i="4"/>
  <c r="F185" i="4"/>
  <c r="J191" i="4"/>
  <c r="H191" i="4" s="1"/>
  <c r="G226" i="4"/>
  <c r="G234" i="4"/>
  <c r="G236" i="4"/>
  <c r="K355" i="4"/>
  <c r="K324" i="4" s="1"/>
  <c r="N400" i="4"/>
  <c r="G408" i="4"/>
  <c r="G410" i="4"/>
  <c r="G412" i="4"/>
  <c r="G449" i="4"/>
  <c r="G489" i="4"/>
  <c r="G491" i="4"/>
  <c r="G511" i="4"/>
  <c r="X5" i="4"/>
  <c r="X519" i="4"/>
  <c r="AB519" i="4"/>
  <c r="R468" i="4"/>
  <c r="F165" i="4"/>
  <c r="L471" i="4"/>
  <c r="L455" i="4" s="1"/>
  <c r="F477" i="4"/>
  <c r="G573" i="4"/>
  <c r="Z502" i="4"/>
  <c r="V482" i="4"/>
  <c r="U61" i="4"/>
  <c r="T61" i="4" s="1"/>
  <c r="G46" i="4"/>
  <c r="F146" i="4"/>
  <c r="G166" i="4"/>
  <c r="G171" i="4"/>
  <c r="G173" i="4"/>
  <c r="P210" i="4"/>
  <c r="G444" i="4"/>
  <c r="G450" i="4"/>
  <c r="G490" i="4"/>
  <c r="G510" i="4"/>
  <c r="R291" i="4"/>
  <c r="R541" i="4"/>
  <c r="U28" i="4"/>
  <c r="T28" i="4" s="1"/>
  <c r="S28" i="4" s="1"/>
  <c r="F71" i="4"/>
  <c r="G52" i="4"/>
  <c r="F56" i="4"/>
  <c r="F65" i="4"/>
  <c r="F118" i="4"/>
  <c r="F169" i="4"/>
  <c r="G207" i="4"/>
  <c r="K210" i="4"/>
  <c r="O210" i="4"/>
  <c r="F325" i="4"/>
  <c r="G402" i="4"/>
  <c r="G404" i="4"/>
  <c r="F406" i="4"/>
  <c r="L433" i="4"/>
  <c r="P433" i="4"/>
  <c r="G454" i="4"/>
  <c r="AD455" i="4"/>
  <c r="G518" i="4"/>
  <c r="AF541" i="4"/>
  <c r="Y151" i="4"/>
  <c r="AC151" i="4"/>
  <c r="W151" i="4"/>
  <c r="R453" i="4"/>
  <c r="U455" i="4"/>
  <c r="I24" i="4"/>
  <c r="H24" i="4" s="1"/>
  <c r="G24" i="4" s="1"/>
  <c r="G206" i="4"/>
  <c r="J208" i="4"/>
  <c r="H208" i="4" s="1"/>
  <c r="G208" i="4" s="1"/>
  <c r="H347" i="4"/>
  <c r="G353" i="4"/>
  <c r="G360" i="4"/>
  <c r="G441" i="4"/>
  <c r="F468" i="4"/>
  <c r="G470" i="4"/>
  <c r="F525" i="4"/>
  <c r="Y519" i="4"/>
  <c r="AC519" i="4"/>
  <c r="R50" i="4"/>
  <c r="R443" i="4"/>
  <c r="R461" i="4"/>
  <c r="R483" i="4"/>
  <c r="F122" i="4"/>
  <c r="F274" i="4"/>
  <c r="F483" i="4"/>
  <c r="N502" i="4"/>
  <c r="F503" i="4"/>
  <c r="G421" i="4"/>
  <c r="G446" i="4"/>
  <c r="G44" i="4"/>
  <c r="G277" i="4"/>
  <c r="G420" i="4"/>
  <c r="G121" i="4"/>
  <c r="G200" i="4"/>
  <c r="G237" i="4"/>
  <c r="F238" i="4"/>
  <c r="G261" i="4"/>
  <c r="G216" i="4"/>
  <c r="G78" i="4"/>
  <c r="R259" i="4"/>
  <c r="G214" i="4"/>
  <c r="G218" i="4"/>
  <c r="G95" i="4"/>
  <c r="G97" i="4"/>
  <c r="G247" i="4"/>
  <c r="G319" i="4"/>
  <c r="G323" i="4"/>
  <c r="U482" i="4"/>
  <c r="X400" i="4"/>
  <c r="AC231" i="4"/>
  <c r="G93" i="4"/>
  <c r="G115" i="4"/>
  <c r="G119" i="4"/>
  <c r="I148" i="4"/>
  <c r="H148" i="4" s="1"/>
  <c r="G148" i="4" s="1"/>
  <c r="G337" i="4"/>
  <c r="H445" i="4"/>
  <c r="G445" i="4" s="1"/>
  <c r="I443" i="4"/>
  <c r="I433" i="4" s="1"/>
  <c r="I34" i="4"/>
  <c r="H34" i="4" s="1"/>
  <c r="G34" i="4" s="1"/>
  <c r="F23" i="4"/>
  <c r="G83" i="4"/>
  <c r="H110" i="4"/>
  <c r="G113" i="4"/>
  <c r="F114" i="4"/>
  <c r="H128" i="4"/>
  <c r="G128" i="4" s="1"/>
  <c r="AD231" i="4"/>
  <c r="AE433" i="4"/>
  <c r="AF433" i="4" s="1"/>
  <c r="R286" i="4"/>
  <c r="P23" i="4"/>
  <c r="M23" i="4"/>
  <c r="J5" i="4"/>
  <c r="N5" i="4"/>
  <c r="G64" i="4"/>
  <c r="G73" i="4"/>
  <c r="G75" i="4"/>
  <c r="F80" i="4"/>
  <c r="G103" i="4"/>
  <c r="G105" i="4"/>
  <c r="G107" i="4"/>
  <c r="R38" i="4"/>
  <c r="R229" i="4"/>
  <c r="R575" i="4"/>
  <c r="N519" i="4"/>
  <c r="AA37" i="4"/>
  <c r="R401" i="4"/>
  <c r="R517" i="4"/>
  <c r="G109" i="4"/>
  <c r="G124" i="4"/>
  <c r="F126" i="4"/>
  <c r="F152" i="4"/>
  <c r="F175" i="4"/>
  <c r="G183" i="4"/>
  <c r="G193" i="4"/>
  <c r="G195" i="4"/>
  <c r="G199" i="4"/>
  <c r="F204" i="4"/>
  <c r="G239" i="4"/>
  <c r="G243" i="4"/>
  <c r="G245" i="4"/>
  <c r="G276" i="4"/>
  <c r="G284" i="4"/>
  <c r="I324" i="4"/>
  <c r="G327" i="4"/>
  <c r="G329" i="4"/>
  <c r="G338" i="4"/>
  <c r="G416" i="4"/>
  <c r="G428" i="4"/>
  <c r="G430" i="4"/>
  <c r="G435" i="4"/>
  <c r="G479" i="4"/>
  <c r="G484" i="4"/>
  <c r="G493" i="4"/>
  <c r="G507" i="4"/>
  <c r="O502" i="4"/>
  <c r="G513" i="4"/>
  <c r="G522" i="4"/>
  <c r="Y5" i="4"/>
  <c r="R122" i="4"/>
  <c r="U31" i="4"/>
  <c r="T31" i="4" s="1"/>
  <c r="S31" i="4" s="1"/>
  <c r="U38" i="4"/>
  <c r="U151" i="4"/>
  <c r="U324" i="4"/>
  <c r="G184" i="4"/>
  <c r="G189" i="4"/>
  <c r="G192" i="4"/>
  <c r="G292" i="4"/>
  <c r="G297" i="4"/>
  <c r="G300" i="4"/>
  <c r="G309" i="4"/>
  <c r="G314" i="4"/>
  <c r="G318" i="4"/>
  <c r="G331" i="4"/>
  <c r="G381" i="4"/>
  <c r="G384" i="4"/>
  <c r="G397" i="4"/>
  <c r="G405" i="4"/>
  <c r="G457" i="4"/>
  <c r="AF468" i="4"/>
  <c r="F471" i="4"/>
  <c r="J482" i="4"/>
  <c r="G494" i="4"/>
  <c r="G501" i="4"/>
  <c r="G521" i="4"/>
  <c r="AB377" i="4"/>
  <c r="R23" i="4"/>
  <c r="R94" i="4"/>
  <c r="R278" i="4"/>
  <c r="U141" i="4"/>
  <c r="T141" i="4" s="1"/>
  <c r="G176" i="4"/>
  <c r="H204" i="4"/>
  <c r="G219" i="4"/>
  <c r="G223" i="4"/>
  <c r="F252" i="4"/>
  <c r="F281" i="4"/>
  <c r="G288" i="4"/>
  <c r="P377" i="4"/>
  <c r="F456" i="4"/>
  <c r="F492" i="4"/>
  <c r="H495" i="4"/>
  <c r="Z433" i="4"/>
  <c r="R370" i="4"/>
  <c r="R439" i="4"/>
  <c r="U34" i="4"/>
  <c r="T34" i="4" s="1"/>
  <c r="S34" i="4" s="1"/>
  <c r="H415" i="4"/>
  <c r="G415" i="4" s="1"/>
  <c r="K414" i="4"/>
  <c r="H414" i="4" s="1"/>
  <c r="R211" i="4"/>
  <c r="R224" i="4"/>
  <c r="R471" i="4"/>
  <c r="P5" i="4"/>
  <c r="K23" i="4"/>
  <c r="O23" i="4"/>
  <c r="H26" i="4"/>
  <c r="G26" i="4" s="1"/>
  <c r="H36" i="4"/>
  <c r="G36" i="4" s="1"/>
  <c r="F77" i="4"/>
  <c r="F110" i="4"/>
  <c r="H286" i="4"/>
  <c r="AF335" i="4"/>
  <c r="H343" i="4"/>
  <c r="G343" i="4" s="1"/>
  <c r="H392" i="4"/>
  <c r="J465" i="4"/>
  <c r="H465" i="4" s="1"/>
  <c r="H466" i="4"/>
  <c r="G466" i="4" s="1"/>
  <c r="R169" i="4"/>
  <c r="R252" i="4"/>
  <c r="R301" i="4"/>
  <c r="R342" i="4"/>
  <c r="R375" i="4"/>
  <c r="R434" i="4"/>
  <c r="R480" i="4"/>
  <c r="G96" i="4"/>
  <c r="G104" i="4"/>
  <c r="AE86" i="4"/>
  <c r="AF86" i="4" s="1"/>
  <c r="G158" i="4"/>
  <c r="G167" i="4"/>
  <c r="G187" i="4"/>
  <c r="G196" i="4"/>
  <c r="G198" i="4"/>
  <c r="G230" i="4"/>
  <c r="G233" i="4"/>
  <c r="G235" i="4"/>
  <c r="G258" i="4"/>
  <c r="G273" i="4"/>
  <c r="G275" i="4"/>
  <c r="G287" i="4"/>
  <c r="F286" i="4"/>
  <c r="F298" i="4"/>
  <c r="F305" i="4"/>
  <c r="F330" i="4"/>
  <c r="F347" i="4"/>
  <c r="G372" i="4"/>
  <c r="AE377" i="4"/>
  <c r="AF377" i="4" s="1"/>
  <c r="G380" i="4"/>
  <c r="F461" i="4"/>
  <c r="AF465" i="4"/>
  <c r="H469" i="4"/>
  <c r="G469" i="4" s="1"/>
  <c r="K468" i="4"/>
  <c r="H468" i="4" s="1"/>
  <c r="K519" i="4"/>
  <c r="O519" i="4"/>
  <c r="AB268" i="4"/>
  <c r="R188" i="4"/>
  <c r="R495" i="4"/>
  <c r="R500" i="4"/>
  <c r="AF525" i="4"/>
  <c r="AD519" i="4"/>
  <c r="R414" i="4"/>
  <c r="L5" i="4"/>
  <c r="G20" i="4"/>
  <c r="G74" i="4"/>
  <c r="G76" i="4"/>
  <c r="G92" i="4"/>
  <c r="G102" i="4"/>
  <c r="H114" i="4"/>
  <c r="G123" i="4"/>
  <c r="G125" i="4"/>
  <c r="G127" i="4"/>
  <c r="H129" i="4"/>
  <c r="G129" i="4" s="1"/>
  <c r="G51" i="4"/>
  <c r="G57" i="4"/>
  <c r="G59" i="4"/>
  <c r="G70" i="4"/>
  <c r="F87" i="4"/>
  <c r="G108" i="4"/>
  <c r="G120" i="4"/>
  <c r="Q126" i="4"/>
  <c r="Q86" i="4" s="1"/>
  <c r="G172" i="4"/>
  <c r="G174" i="4"/>
  <c r="G182" i="4"/>
  <c r="AE168" i="4"/>
  <c r="AF168" i="4" s="1"/>
  <c r="G205" i="4"/>
  <c r="M210" i="4"/>
  <c r="G215" i="4"/>
  <c r="G225" i="4"/>
  <c r="F224" i="4"/>
  <c r="G244" i="4"/>
  <c r="G246" i="4"/>
  <c r="G254" i="4"/>
  <c r="F269" i="4"/>
  <c r="G283" i="4"/>
  <c r="G285" i="4"/>
  <c r="G293" i="4"/>
  <c r="G296" i="4"/>
  <c r="G299" i="4"/>
  <c r="F301" i="4"/>
  <c r="G312" i="4"/>
  <c r="G316" i="4"/>
  <c r="G321" i="4"/>
  <c r="AD324" i="4"/>
  <c r="G328" i="4"/>
  <c r="G334" i="4"/>
  <c r="G336" i="4"/>
  <c r="H342" i="4"/>
  <c r="G432" i="4"/>
  <c r="H503" i="4"/>
  <c r="R160" i="4"/>
  <c r="R305" i="4"/>
  <c r="R525" i="4"/>
  <c r="G385" i="4"/>
  <c r="G391" i="4"/>
  <c r="G396" i="4"/>
  <c r="G399" i="4"/>
  <c r="F401" i="4"/>
  <c r="G409" i="4"/>
  <c r="G411" i="4"/>
  <c r="G419" i="4"/>
  <c r="G427" i="4"/>
  <c r="G429" i="4"/>
  <c r="F443" i="4"/>
  <c r="L502" i="4"/>
  <c r="P502" i="4"/>
  <c r="H512" i="4"/>
  <c r="G512" i="4" s="1"/>
  <c r="M519" i="4"/>
  <c r="AC37" i="4"/>
  <c r="Y86" i="4"/>
  <c r="AC126" i="4"/>
  <c r="AC86" i="4" s="1"/>
  <c r="Z357" i="4"/>
  <c r="Z377" i="4"/>
  <c r="AB482" i="4"/>
  <c r="W519" i="4"/>
  <c r="AA519" i="4"/>
  <c r="R61" i="4"/>
  <c r="R71" i="4"/>
  <c r="R101" i="4"/>
  <c r="R106" i="4"/>
  <c r="R110" i="4"/>
  <c r="R114" i="4"/>
  <c r="R118" i="4"/>
  <c r="R126" i="4"/>
  <c r="R130" i="4"/>
  <c r="R152" i="4"/>
  <c r="R165" i="4"/>
  <c r="R208" i="4"/>
  <c r="R232" i="4"/>
  <c r="R295" i="4"/>
  <c r="R325" i="4"/>
  <c r="R347" i="4"/>
  <c r="R358" i="4"/>
  <c r="R367" i="4"/>
  <c r="R383" i="4"/>
  <c r="R388" i="4"/>
  <c r="R392" i="4"/>
  <c r="R426" i="4"/>
  <c r="R431" i="4"/>
  <c r="R456" i="4"/>
  <c r="R465" i="4"/>
  <c r="R488" i="4"/>
  <c r="R508" i="4"/>
  <c r="R514" i="4"/>
  <c r="R520" i="4"/>
  <c r="X255" i="4"/>
  <c r="Z324" i="4"/>
  <c r="AB400" i="4"/>
  <c r="AC400" i="4"/>
  <c r="R77" i="4"/>
  <c r="R204" i="4"/>
  <c r="R238" i="4"/>
  <c r="R269" i="4"/>
  <c r="R281" i="4"/>
  <c r="R330" i="4"/>
  <c r="R335" i="4"/>
  <c r="R363" i="4"/>
  <c r="R398" i="4"/>
  <c r="R418" i="4"/>
  <c r="G344" i="4"/>
  <c r="G352" i="4"/>
  <c r="G354" i="4"/>
  <c r="G359" i="4"/>
  <c r="G361" i="4"/>
  <c r="F363" i="4"/>
  <c r="H368" i="4"/>
  <c r="G368" i="4" s="1"/>
  <c r="F370" i="4"/>
  <c r="H373" i="4"/>
  <c r="G373" i="4" s="1"/>
  <c r="F378" i="4"/>
  <c r="F392" i="4"/>
  <c r="H398" i="4"/>
  <c r="G398" i="4" s="1"/>
  <c r="G403" i="4"/>
  <c r="G417" i="4"/>
  <c r="F418" i="4"/>
  <c r="J433" i="4"/>
  <c r="N433" i="4"/>
  <c r="F434" i="4"/>
  <c r="G440" i="4"/>
  <c r="G442" i="4"/>
  <c r="G448" i="4"/>
  <c r="H477" i="4"/>
  <c r="G478" i="4"/>
  <c r="F495" i="4"/>
  <c r="AE502" i="4"/>
  <c r="AF502" i="4" s="1"/>
  <c r="Y255" i="4"/>
  <c r="AB324" i="4"/>
  <c r="V357" i="4"/>
  <c r="Z400" i="4"/>
  <c r="AA400" i="4"/>
  <c r="Y433" i="4"/>
  <c r="AC433" i="4"/>
  <c r="V461" i="4"/>
  <c r="T461" i="4" s="1"/>
  <c r="AB455" i="4"/>
  <c r="V525" i="4"/>
  <c r="T525" i="4" s="1"/>
  <c r="R43" i="4"/>
  <c r="R56" i="4"/>
  <c r="R65" i="4"/>
  <c r="R87" i="4"/>
  <c r="R141" i="4"/>
  <c r="R146" i="4"/>
  <c r="R155" i="4"/>
  <c r="R175" i="4"/>
  <c r="R181" i="4"/>
  <c r="R185" i="4"/>
  <c r="R191" i="4"/>
  <c r="R249" i="4"/>
  <c r="R298" i="4"/>
  <c r="R378" i="4"/>
  <c r="R406" i="4"/>
  <c r="R477" i="4"/>
  <c r="R492" i="4"/>
  <c r="R503" i="4"/>
  <c r="R512" i="4"/>
  <c r="U24" i="4"/>
  <c r="T24" i="4" s="1"/>
  <c r="S24" i="4" s="1"/>
  <c r="U146" i="4"/>
  <c r="T146" i="4" s="1"/>
  <c r="U231" i="4"/>
  <c r="U268" i="4"/>
  <c r="U357" i="4"/>
  <c r="U130" i="4"/>
  <c r="T130" i="4" s="1"/>
  <c r="U210" i="4"/>
  <c r="U400" i="4"/>
  <c r="U433" i="4"/>
  <c r="U17" i="4"/>
  <c r="R274" i="4"/>
  <c r="R6" i="4"/>
  <c r="U6" i="4"/>
  <c r="T6" i="4" s="1"/>
  <c r="R17" i="4"/>
  <c r="V17" i="4"/>
  <c r="U168" i="4"/>
  <c r="J86" i="4"/>
  <c r="L86" i="4"/>
  <c r="N86" i="4"/>
  <c r="H118" i="4"/>
  <c r="H211" i="4"/>
  <c r="H224" i="4"/>
  <c r="H249" i="4"/>
  <c r="N255" i="4"/>
  <c r="J268" i="4"/>
  <c r="L268" i="4"/>
  <c r="N268" i="4"/>
  <c r="P268" i="4"/>
  <c r="H335" i="4"/>
  <c r="O357" i="4"/>
  <c r="N455" i="4"/>
  <c r="P455" i="4"/>
  <c r="V37" i="4"/>
  <c r="X151" i="4"/>
  <c r="W37" i="4"/>
  <c r="X268" i="4"/>
  <c r="AB357" i="4"/>
  <c r="AB151" i="4"/>
  <c r="V255" i="4"/>
  <c r="Y357" i="4"/>
  <c r="AA357" i="4"/>
  <c r="AC357" i="4"/>
  <c r="X357" i="4"/>
  <c r="Y377" i="4"/>
  <c r="AC377" i="4"/>
  <c r="L23" i="4"/>
  <c r="H155" i="4"/>
  <c r="H229" i="4"/>
  <c r="G229" i="4" s="1"/>
  <c r="L231" i="4"/>
  <c r="P231" i="4"/>
  <c r="L377" i="4"/>
  <c r="H388" i="4"/>
  <c r="L482" i="4"/>
  <c r="N482" i="4"/>
  <c r="P482" i="4"/>
  <c r="H492" i="4"/>
  <c r="H517" i="4"/>
  <c r="G517" i="4" s="1"/>
  <c r="X433" i="4"/>
  <c r="AB433" i="4"/>
  <c r="Z455" i="4"/>
  <c r="W502" i="4"/>
  <c r="Y502" i="4"/>
  <c r="AA502" i="4"/>
  <c r="AC502" i="4"/>
  <c r="X502" i="4"/>
  <c r="AB502" i="4"/>
  <c r="O168" i="4"/>
  <c r="M324" i="4"/>
  <c r="J400" i="4"/>
  <c r="K502" i="4"/>
  <c r="L519" i="4"/>
  <c r="P519" i="4"/>
  <c r="H41" i="4"/>
  <c r="G41" i="4" s="1"/>
  <c r="I38" i="4"/>
  <c r="H38" i="4" s="1"/>
  <c r="H260" i="4"/>
  <c r="G260" i="4" s="1"/>
  <c r="I259" i="4"/>
  <c r="H259" i="4" s="1"/>
  <c r="F160" i="4"/>
  <c r="G209" i="4"/>
  <c r="F211" i="4"/>
  <c r="F249" i="4"/>
  <c r="H382" i="4"/>
  <c r="G382" i="4" s="1"/>
  <c r="I378" i="4"/>
  <c r="H378" i="4" s="1"/>
  <c r="F38" i="4"/>
  <c r="F6" i="4"/>
  <c r="F17" i="4"/>
  <c r="K5" i="4"/>
  <c r="M5" i="4"/>
  <c r="O5" i="4"/>
  <c r="AE37" i="4"/>
  <c r="AF37" i="4" s="1"/>
  <c r="G39" i="4"/>
  <c r="G40" i="4"/>
  <c r="H43" i="4"/>
  <c r="F43" i="4"/>
  <c r="G47" i="4"/>
  <c r="G48" i="4"/>
  <c r="F50" i="4"/>
  <c r="G53" i="4"/>
  <c r="G54" i="4"/>
  <c r="G55" i="4"/>
  <c r="P37" i="4"/>
  <c r="G66" i="4"/>
  <c r="G67" i="4"/>
  <c r="G68" i="4"/>
  <c r="G72" i="4"/>
  <c r="G79" i="4"/>
  <c r="G81" i="4"/>
  <c r="G82" i="4"/>
  <c r="G89" i="4"/>
  <c r="G90" i="4"/>
  <c r="G91" i="4"/>
  <c r="F94" i="4"/>
  <c r="G98" i="4"/>
  <c r="G99" i="4"/>
  <c r="G100" i="4"/>
  <c r="H106" i="4"/>
  <c r="G111" i="4"/>
  <c r="G112" i="4"/>
  <c r="G116" i="4"/>
  <c r="G117" i="4"/>
  <c r="H122" i="4"/>
  <c r="F141" i="4"/>
  <c r="I151" i="4"/>
  <c r="E35" i="4" s="1"/>
  <c r="E23" i="4" s="1"/>
  <c r="AE151" i="4"/>
  <c r="G153" i="4"/>
  <c r="G154" i="4"/>
  <c r="H156" i="4"/>
  <c r="G156" i="4" s="1"/>
  <c r="G161" i="4"/>
  <c r="G162" i="4"/>
  <c r="G163" i="4"/>
  <c r="H169" i="4"/>
  <c r="K168" i="4"/>
  <c r="G170" i="4"/>
  <c r="G177" i="4"/>
  <c r="G178" i="4"/>
  <c r="G179" i="4"/>
  <c r="H181" i="4"/>
  <c r="F181" i="4"/>
  <c r="H185" i="4"/>
  <c r="G186" i="4"/>
  <c r="J188" i="4"/>
  <c r="H188" i="4" s="1"/>
  <c r="G188" i="4" s="1"/>
  <c r="F191" i="4"/>
  <c r="G194" i="4"/>
  <c r="F197" i="4"/>
  <c r="G201" i="4"/>
  <c r="G202" i="4"/>
  <c r="G212" i="4"/>
  <c r="G213" i="4"/>
  <c r="G220" i="4"/>
  <c r="G221" i="4"/>
  <c r="G222" i="4"/>
  <c r="G227" i="4"/>
  <c r="G228" i="4"/>
  <c r="L210" i="4"/>
  <c r="AE231" i="4"/>
  <c r="F232" i="4"/>
  <c r="AF238" i="4"/>
  <c r="G240" i="4"/>
  <c r="G241" i="4"/>
  <c r="G242" i="4"/>
  <c r="G248" i="4"/>
  <c r="G250" i="4"/>
  <c r="G251" i="4"/>
  <c r="AF252" i="4"/>
  <c r="G253" i="4"/>
  <c r="AE255" i="4"/>
  <c r="AF255" i="4" s="1"/>
  <c r="K255" i="4"/>
  <c r="M255" i="4"/>
  <c r="O255" i="4"/>
  <c r="F256" i="4"/>
  <c r="F259" i="4"/>
  <c r="J255" i="4"/>
  <c r="L255" i="4"/>
  <c r="F262" i="4"/>
  <c r="AF262" i="4"/>
  <c r="G270" i="4"/>
  <c r="G271" i="4"/>
  <c r="G272" i="4"/>
  <c r="G279" i="4"/>
  <c r="G280" i="4"/>
  <c r="AF281" i="4"/>
  <c r="G282" i="4"/>
  <c r="G289" i="4"/>
  <c r="G290" i="4"/>
  <c r="H291" i="4"/>
  <c r="F295" i="4"/>
  <c r="I298" i="4"/>
  <c r="H298" i="4" s="1"/>
  <c r="G302" i="4"/>
  <c r="G303" i="4"/>
  <c r="G304" i="4"/>
  <c r="G326" i="4"/>
  <c r="J330" i="4"/>
  <c r="J324" i="4" s="1"/>
  <c r="F335" i="4"/>
  <c r="G341" i="4"/>
  <c r="AF342" i="4"/>
  <c r="AE324" i="4"/>
  <c r="G351" i="4"/>
  <c r="AF358" i="4"/>
  <c r="AE357" i="4"/>
  <c r="AF357" i="4" s="1"/>
  <c r="K367" i="4"/>
  <c r="H367" i="4" s="1"/>
  <c r="F367" i="4"/>
  <c r="G369" i="4"/>
  <c r="H371" i="4"/>
  <c r="G371" i="4" s="1"/>
  <c r="L370" i="4"/>
  <c r="H370" i="4" s="1"/>
  <c r="J377" i="4"/>
  <c r="N377" i="4"/>
  <c r="F388" i="4"/>
  <c r="H526" i="4"/>
  <c r="G526" i="4" s="1"/>
  <c r="J525" i="4"/>
  <c r="H525" i="4" s="1"/>
  <c r="K443" i="4"/>
  <c r="G306" i="4"/>
  <c r="G307" i="4"/>
  <c r="G308" i="4"/>
  <c r="G313" i="4"/>
  <c r="G315" i="4"/>
  <c r="G317" i="4"/>
  <c r="G320" i="4"/>
  <c r="G322" i="4"/>
  <c r="H325" i="4"/>
  <c r="O324" i="4"/>
  <c r="G333" i="4"/>
  <c r="G339" i="4"/>
  <c r="G348" i="4"/>
  <c r="G349" i="4"/>
  <c r="G350" i="4"/>
  <c r="J357" i="4"/>
  <c r="N357" i="4"/>
  <c r="P357" i="4"/>
  <c r="G364" i="4"/>
  <c r="G365" i="4"/>
  <c r="G366" i="4"/>
  <c r="M357" i="4"/>
  <c r="G374" i="4"/>
  <c r="H376" i="4"/>
  <c r="G376" i="4" s="1"/>
  <c r="K377" i="4"/>
  <c r="M377" i="4"/>
  <c r="O377" i="4"/>
  <c r="G379" i="4"/>
  <c r="H383" i="4"/>
  <c r="F383" i="4"/>
  <c r="G387" i="4"/>
  <c r="G389" i="4"/>
  <c r="G390" i="4"/>
  <c r="G394" i="4"/>
  <c r="G395" i="4"/>
  <c r="L400" i="4"/>
  <c r="P400" i="4"/>
  <c r="H406" i="4"/>
  <c r="G407" i="4"/>
  <c r="G413" i="4"/>
  <c r="F414" i="4"/>
  <c r="M418" i="4"/>
  <c r="G422" i="4"/>
  <c r="G423" i="4"/>
  <c r="G424" i="4"/>
  <c r="G425" i="4"/>
  <c r="F426" i="4"/>
  <c r="M431" i="4"/>
  <c r="H431" i="4" s="1"/>
  <c r="G431" i="4" s="1"/>
  <c r="G436" i="4"/>
  <c r="G437" i="4"/>
  <c r="G438" i="4"/>
  <c r="F439" i="4"/>
  <c r="H453" i="4"/>
  <c r="G453" i="4" s="1"/>
  <c r="AE455" i="4"/>
  <c r="G458" i="4"/>
  <c r="G459" i="4"/>
  <c r="J461" i="4"/>
  <c r="H461" i="4" s="1"/>
  <c r="F465" i="4"/>
  <c r="G467" i="4"/>
  <c r="G474" i="4"/>
  <c r="G475" i="4"/>
  <c r="K482" i="4"/>
  <c r="M482" i="4"/>
  <c r="O482" i="4"/>
  <c r="G485" i="4"/>
  <c r="G486" i="4"/>
  <c r="G487" i="4"/>
  <c r="F488" i="4"/>
  <c r="G496" i="4"/>
  <c r="G497" i="4"/>
  <c r="G499" i="4"/>
  <c r="G504" i="4"/>
  <c r="G505" i="4"/>
  <c r="G506" i="4"/>
  <c r="F508" i="4"/>
  <c r="M502" i="4"/>
  <c r="F514" i="4"/>
  <c r="G516" i="4"/>
  <c r="AE519" i="4"/>
  <c r="F520" i="4"/>
  <c r="G523" i="4"/>
  <c r="G524" i="4"/>
  <c r="F575" i="4"/>
  <c r="F579" i="4"/>
  <c r="V23" i="4"/>
  <c r="X23" i="4"/>
  <c r="Z23" i="4"/>
  <c r="AB23" i="4"/>
  <c r="Q502" i="4"/>
  <c r="Q455" i="4"/>
  <c r="Q377" i="4"/>
  <c r="Q357" i="4"/>
  <c r="Q324" i="4"/>
  <c r="Q268" i="4"/>
  <c r="Q210" i="4"/>
  <c r="Q23" i="4"/>
  <c r="V86" i="4"/>
  <c r="X86" i="4"/>
  <c r="Z86" i="4"/>
  <c r="AB86" i="4"/>
  <c r="W168" i="4"/>
  <c r="Y168" i="4"/>
  <c r="AA168" i="4"/>
  <c r="X168" i="4"/>
  <c r="AB168" i="4"/>
  <c r="X210" i="4"/>
  <c r="Z210" i="4"/>
  <c r="AB210" i="4"/>
  <c r="X231" i="4"/>
  <c r="Z231" i="4"/>
  <c r="AB231" i="4"/>
  <c r="AC255" i="4"/>
  <c r="Y324" i="4"/>
  <c r="AA324" i="4"/>
  <c r="AC324" i="4"/>
  <c r="Y455" i="4"/>
  <c r="AA455" i="4"/>
  <c r="AC455" i="4"/>
  <c r="W482" i="4"/>
  <c r="Y482" i="4"/>
  <c r="AA482" i="4"/>
  <c r="AC482" i="4"/>
  <c r="V541" i="4"/>
  <c r="T541" i="4" s="1"/>
  <c r="S541" i="4" s="1"/>
  <c r="Q519" i="4"/>
  <c r="Q482" i="4"/>
  <c r="Q433" i="4"/>
  <c r="Q400" i="4"/>
  <c r="Q255" i="4"/>
  <c r="Q231" i="4"/>
  <c r="Q168" i="4"/>
  <c r="Q151" i="4"/>
  <c r="Q37" i="4"/>
  <c r="Q5" i="4"/>
  <c r="N23" i="4"/>
  <c r="J23" i="4"/>
  <c r="G15" i="4"/>
  <c r="J37" i="4"/>
  <c r="L37" i="4"/>
  <c r="N37" i="4"/>
  <c r="K86" i="4"/>
  <c r="M86" i="4"/>
  <c r="O86" i="4"/>
  <c r="P86" i="4"/>
  <c r="H152" i="4"/>
  <c r="K151" i="4"/>
  <c r="O151" i="4"/>
  <c r="H165" i="4"/>
  <c r="AB257" i="4"/>
  <c r="H175" i="4"/>
  <c r="M168" i="4"/>
  <c r="G217" i="4"/>
  <c r="J231" i="4"/>
  <c r="N231" i="4"/>
  <c r="J210" i="4"/>
  <c r="N210" i="4"/>
  <c r="H232" i="4"/>
  <c r="K231" i="4"/>
  <c r="M231" i="4"/>
  <c r="O231" i="4"/>
  <c r="H238" i="4"/>
  <c r="H252" i="4"/>
  <c r="H269" i="4"/>
  <c r="K268" i="4"/>
  <c r="M268" i="4"/>
  <c r="O268" i="4"/>
  <c r="H274" i="4"/>
  <c r="H278" i="4"/>
  <c r="H301" i="4"/>
  <c r="L324" i="4"/>
  <c r="N324" i="4"/>
  <c r="P324" i="4"/>
  <c r="G345" i="4"/>
  <c r="G346" i="4"/>
  <c r="H363" i="4"/>
  <c r="H401" i="4"/>
  <c r="O400" i="4"/>
  <c r="H426" i="4"/>
  <c r="H434" i="4"/>
  <c r="M433" i="4"/>
  <c r="O433" i="4"/>
  <c r="H439" i="4"/>
  <c r="M455" i="4"/>
  <c r="O455" i="4"/>
  <c r="H483" i="4"/>
  <c r="H488" i="4"/>
  <c r="H500" i="4"/>
  <c r="G500" i="4" s="1"/>
  <c r="H520" i="4"/>
  <c r="G577" i="4"/>
  <c r="G578" i="4"/>
  <c r="AF23" i="4"/>
  <c r="K37" i="4"/>
  <c r="M37" i="4"/>
  <c r="O37" i="4"/>
  <c r="H50" i="4"/>
  <c r="H56" i="4"/>
  <c r="H65" i="4"/>
  <c r="H71" i="4"/>
  <c r="H77" i="4"/>
  <c r="H80" i="4"/>
  <c r="H87" i="4"/>
  <c r="H94" i="4"/>
  <c r="H101" i="4"/>
  <c r="L151" i="4"/>
  <c r="N151" i="4"/>
  <c r="P151" i="4"/>
  <c r="I168" i="4"/>
  <c r="L168" i="4"/>
  <c r="N168" i="4"/>
  <c r="P168" i="4"/>
  <c r="H197" i="4"/>
  <c r="H281" i="4"/>
  <c r="H295" i="4"/>
  <c r="H305" i="4"/>
  <c r="X324" i="4"/>
  <c r="W357" i="4"/>
  <c r="Y400" i="4"/>
  <c r="H18" i="4"/>
  <c r="G18" i="4" s="1"/>
  <c r="I17" i="4"/>
  <c r="H17" i="4" s="1"/>
  <c r="I6" i="4"/>
  <c r="H7" i="4"/>
  <c r="G7" i="4" s="1"/>
  <c r="I28" i="4"/>
  <c r="H28" i="4" s="1"/>
  <c r="G28" i="4" s="1"/>
  <c r="H33" i="4"/>
  <c r="G33" i="4" s="1"/>
  <c r="I31" i="4"/>
  <c r="H31" i="4" s="1"/>
  <c r="G31" i="4" s="1"/>
  <c r="H131" i="4"/>
  <c r="G131" i="4" s="1"/>
  <c r="I130" i="4"/>
  <c r="H130" i="4" s="1"/>
  <c r="H142" i="4"/>
  <c r="G142" i="4" s="1"/>
  <c r="I141" i="4"/>
  <c r="H141" i="4" s="1"/>
  <c r="G45" i="4"/>
  <c r="G49" i="4"/>
  <c r="H62" i="4"/>
  <c r="G62" i="4" s="1"/>
  <c r="I61" i="4"/>
  <c r="H61" i="4" s="1"/>
  <c r="F61" i="4"/>
  <c r="F130" i="4"/>
  <c r="AD151" i="4"/>
  <c r="J160" i="4"/>
  <c r="J151" i="4" s="1"/>
  <c r="I210" i="4"/>
  <c r="AE210" i="4"/>
  <c r="AF210" i="4" s="1"/>
  <c r="I231" i="4"/>
  <c r="I262" i="4"/>
  <c r="H262" i="4" s="1"/>
  <c r="AE268" i="4"/>
  <c r="AF268" i="4" s="1"/>
  <c r="G332" i="4"/>
  <c r="G340" i="4"/>
  <c r="F342" i="4"/>
  <c r="H460" i="4"/>
  <c r="G460" i="4" s="1"/>
  <c r="I456" i="4"/>
  <c r="I358" i="4"/>
  <c r="K375" i="4"/>
  <c r="I400" i="4"/>
  <c r="AE400" i="4"/>
  <c r="AF400" i="4" s="1"/>
  <c r="K418" i="4"/>
  <c r="K447" i="4"/>
  <c r="H447" i="4" s="1"/>
  <c r="G473" i="4"/>
  <c r="G476" i="4"/>
  <c r="H481" i="4"/>
  <c r="G481" i="4" s="1"/>
  <c r="K480" i="4"/>
  <c r="H480" i="4" s="1"/>
  <c r="G480" i="4" s="1"/>
  <c r="H472" i="4"/>
  <c r="G472" i="4" s="1"/>
  <c r="J471" i="4"/>
  <c r="H509" i="4"/>
  <c r="G509" i="4" s="1"/>
  <c r="J508" i="4"/>
  <c r="H508" i="4" s="1"/>
  <c r="I482" i="4"/>
  <c r="AE482" i="4"/>
  <c r="AF482" i="4" s="1"/>
  <c r="I514" i="4"/>
  <c r="G540" i="4"/>
  <c r="J542" i="4"/>
  <c r="F541" i="4"/>
  <c r="H576" i="4"/>
  <c r="G576" i="4" s="1"/>
  <c r="I575" i="4"/>
  <c r="H575" i="4" s="1"/>
  <c r="J579" i="4"/>
  <c r="H579" i="4" s="1"/>
  <c r="H580" i="4"/>
  <c r="G580" i="4" s="1"/>
  <c r="AF455" i="4" l="1"/>
  <c r="AF519" i="4"/>
  <c r="G278" i="4"/>
  <c r="G291" i="4"/>
  <c r="U377" i="4"/>
  <c r="T377" i="4" s="1"/>
  <c r="S262" i="4"/>
  <c r="P257" i="4"/>
  <c r="P256" i="4" s="1"/>
  <c r="P255" i="4" s="1"/>
  <c r="P4" i="4" s="1"/>
  <c r="G447" i="4"/>
  <c r="S461" i="4"/>
  <c r="S355" i="4"/>
  <c r="G155" i="4"/>
  <c r="U519" i="4"/>
  <c r="T519" i="4" s="1"/>
  <c r="G197" i="4"/>
  <c r="G434" i="4"/>
  <c r="U502" i="4"/>
  <c r="T502" i="4" s="1"/>
  <c r="G224" i="4"/>
  <c r="I146" i="4"/>
  <c r="H146" i="4" s="1"/>
  <c r="G146" i="4" s="1"/>
  <c r="T268" i="4"/>
  <c r="S525" i="4"/>
  <c r="S6" i="4"/>
  <c r="T433" i="4"/>
  <c r="T357" i="4"/>
  <c r="T455" i="4"/>
  <c r="S488" i="4"/>
  <c r="S414" i="4"/>
  <c r="S342" i="4"/>
  <c r="S238" i="4"/>
  <c r="S152" i="4"/>
  <c r="S122" i="4"/>
  <c r="S514" i="4"/>
  <c r="S453" i="4"/>
  <c r="S286" i="4"/>
  <c r="S232" i="4"/>
  <c r="S118" i="4"/>
  <c r="S512" i="4"/>
  <c r="S443" i="4"/>
  <c r="S370" i="4"/>
  <c r="S281" i="4"/>
  <c r="S181" i="4"/>
  <c r="S65" i="4"/>
  <c r="S492" i="4"/>
  <c r="S418" i="4"/>
  <c r="S367" i="4"/>
  <c r="S278" i="4"/>
  <c r="S175" i="4"/>
  <c r="S87" i="4"/>
  <c r="U256" i="4"/>
  <c r="U255" i="4" s="1"/>
  <c r="T257" i="4"/>
  <c r="S257" i="4" s="1"/>
  <c r="T168" i="4"/>
  <c r="T400" i="4"/>
  <c r="T324" i="4"/>
  <c r="S61" i="4"/>
  <c r="S575" i="4"/>
  <c r="S471" i="4"/>
  <c r="S392" i="4"/>
  <c r="S305" i="4"/>
  <c r="S211" i="4"/>
  <c r="S106" i="4"/>
  <c r="S500" i="4"/>
  <c r="S431" i="4"/>
  <c r="S358" i="4"/>
  <c r="S269" i="4"/>
  <c r="S208" i="4"/>
  <c r="S101" i="4"/>
  <c r="S495" i="4"/>
  <c r="S426" i="4"/>
  <c r="S252" i="4"/>
  <c r="S160" i="4"/>
  <c r="S50" i="4"/>
  <c r="S477" i="4"/>
  <c r="S398" i="4"/>
  <c r="S347" i="4"/>
  <c r="S249" i="4"/>
  <c r="S155" i="4"/>
  <c r="T210" i="4"/>
  <c r="T231" i="4"/>
  <c r="S141" i="4"/>
  <c r="T151" i="4"/>
  <c r="T482" i="4"/>
  <c r="S517" i="4"/>
  <c r="S456" i="4"/>
  <c r="S375" i="4"/>
  <c r="S291" i="4"/>
  <c r="S188" i="4"/>
  <c r="S77" i="4"/>
  <c r="S483" i="4"/>
  <c r="S406" i="4"/>
  <c r="S335" i="4"/>
  <c r="S185" i="4"/>
  <c r="S71" i="4"/>
  <c r="S480" i="4"/>
  <c r="S401" i="4"/>
  <c r="S330" i="4"/>
  <c r="S229" i="4"/>
  <c r="S114" i="4"/>
  <c r="S520" i="4"/>
  <c r="S325" i="4"/>
  <c r="S224" i="4"/>
  <c r="T126" i="4"/>
  <c r="S126" i="4" s="1"/>
  <c r="S43" i="4"/>
  <c r="T17" i="4"/>
  <c r="S17" i="4" s="1"/>
  <c r="S130" i="4"/>
  <c r="S146" i="4"/>
  <c r="U37" i="4"/>
  <c r="T37" i="4" s="1"/>
  <c r="T38" i="4"/>
  <c r="S38" i="4" s="1"/>
  <c r="T5" i="4"/>
  <c r="S503" i="4"/>
  <c r="S434" i="4"/>
  <c r="S363" i="4"/>
  <c r="S274" i="4"/>
  <c r="S169" i="4"/>
  <c r="S468" i="4"/>
  <c r="S388" i="4"/>
  <c r="S301" i="4"/>
  <c r="S259" i="4"/>
  <c r="S165" i="4"/>
  <c r="S56" i="4"/>
  <c r="S465" i="4"/>
  <c r="S383" i="4"/>
  <c r="S298" i="4"/>
  <c r="S204" i="4"/>
  <c r="S94" i="4"/>
  <c r="S508" i="4"/>
  <c r="S439" i="4"/>
  <c r="S378" i="4"/>
  <c r="S295" i="4"/>
  <c r="S191" i="4"/>
  <c r="S110" i="4"/>
  <c r="G80" i="4"/>
  <c r="G488" i="4"/>
  <c r="G301" i="4"/>
  <c r="G175" i="4"/>
  <c r="I377" i="4"/>
  <c r="H377" i="4" s="1"/>
  <c r="G465" i="4"/>
  <c r="H355" i="4"/>
  <c r="G355" i="4" s="1"/>
  <c r="G274" i="4"/>
  <c r="G165" i="4"/>
  <c r="G106" i="4"/>
  <c r="G477" i="4"/>
  <c r="G401" i="4"/>
  <c r="AF231" i="4"/>
  <c r="G378" i="4"/>
  <c r="G363" i="4"/>
  <c r="G525" i="4"/>
  <c r="G204" i="4"/>
  <c r="AF324" i="4"/>
  <c r="G495" i="4"/>
  <c r="G520" i="4"/>
  <c r="G169" i="4"/>
  <c r="G252" i="4"/>
  <c r="F231" i="4"/>
  <c r="AC4" i="4"/>
  <c r="Z4" i="4"/>
  <c r="L357" i="4"/>
  <c r="L4" i="4" s="1"/>
  <c r="Y4" i="4"/>
  <c r="W4" i="4"/>
  <c r="X4" i="4"/>
  <c r="V4" i="4"/>
  <c r="AA4" i="4"/>
  <c r="G238" i="4"/>
  <c r="G468" i="4"/>
  <c r="G101" i="4"/>
  <c r="F433" i="4"/>
  <c r="F151" i="4"/>
  <c r="G347" i="4"/>
  <c r="G286" i="4"/>
  <c r="G269" i="4"/>
  <c r="G325" i="4"/>
  <c r="F210" i="4"/>
  <c r="G503" i="4"/>
  <c r="G414" i="4"/>
  <c r="G56" i="4"/>
  <c r="G579" i="4"/>
  <c r="G295" i="4"/>
  <c r="F255" i="4"/>
  <c r="H231" i="4"/>
  <c r="AD4" i="4"/>
  <c r="G281" i="4"/>
  <c r="G406" i="4"/>
  <c r="G185" i="4"/>
  <c r="G492" i="4"/>
  <c r="G118" i="4"/>
  <c r="H482" i="4"/>
  <c r="G94" i="4"/>
  <c r="U86" i="4"/>
  <c r="T86" i="4" s="1"/>
  <c r="R455" i="4"/>
  <c r="I268" i="4"/>
  <c r="H268" i="4" s="1"/>
  <c r="G426" i="4"/>
  <c r="G370" i="4"/>
  <c r="J168" i="4"/>
  <c r="H168" i="4" s="1"/>
  <c r="G122" i="4"/>
  <c r="U23" i="4"/>
  <c r="T23" i="4" s="1"/>
  <c r="S23" i="4" s="1"/>
  <c r="F519" i="4"/>
  <c r="G152" i="4"/>
  <c r="F482" i="4"/>
  <c r="G367" i="4"/>
  <c r="R519" i="4"/>
  <c r="G575" i="4"/>
  <c r="G508" i="4"/>
  <c r="H443" i="4"/>
  <c r="G443" i="4" s="1"/>
  <c r="G483" i="4"/>
  <c r="H330" i="4"/>
  <c r="G330" i="4" s="1"/>
  <c r="F455" i="4"/>
  <c r="G298" i="4"/>
  <c r="H210" i="4"/>
  <c r="G77" i="4"/>
  <c r="G232" i="4"/>
  <c r="G461" i="4"/>
  <c r="F377" i="4"/>
  <c r="G114" i="4"/>
  <c r="G110" i="4"/>
  <c r="G71" i="4"/>
  <c r="G335" i="4"/>
  <c r="R433" i="4"/>
  <c r="R400" i="4"/>
  <c r="R357" i="4"/>
  <c r="G262" i="4"/>
  <c r="R268" i="4"/>
  <c r="S268" i="4" s="1"/>
  <c r="F37" i="4"/>
  <c r="G17" i="4"/>
  <c r="G61" i="4"/>
  <c r="G65" i="4"/>
  <c r="G50" i="4"/>
  <c r="G249" i="4"/>
  <c r="R210" i="4"/>
  <c r="R86" i="4"/>
  <c r="G87" i="4"/>
  <c r="R5" i="4"/>
  <c r="G439" i="4"/>
  <c r="G259" i="4"/>
  <c r="R377" i="4"/>
  <c r="R324" i="4"/>
  <c r="R231" i="4"/>
  <c r="F268" i="4"/>
  <c r="F168" i="4"/>
  <c r="R37" i="4"/>
  <c r="F357" i="4"/>
  <c r="H126" i="4"/>
  <c r="G126" i="4" s="1"/>
  <c r="G191" i="4"/>
  <c r="G211" i="4"/>
  <c r="R151" i="4"/>
  <c r="G392" i="4"/>
  <c r="F324" i="4"/>
  <c r="G305" i="4"/>
  <c r="AB256" i="4"/>
  <c r="AB255" i="4" s="1"/>
  <c r="AB4" i="4" s="1"/>
  <c r="R256" i="4"/>
  <c r="F400" i="4"/>
  <c r="G383" i="4"/>
  <c r="G181" i="4"/>
  <c r="F86" i="4"/>
  <c r="G141" i="4"/>
  <c r="F502" i="4"/>
  <c r="G388" i="4"/>
  <c r="G38" i="4"/>
  <c r="R502" i="4"/>
  <c r="R482" i="4"/>
  <c r="R168" i="4"/>
  <c r="M400" i="4"/>
  <c r="M4" i="4" s="1"/>
  <c r="Q4" i="4"/>
  <c r="J455" i="4"/>
  <c r="H418" i="4"/>
  <c r="G418" i="4" s="1"/>
  <c r="O4" i="4"/>
  <c r="H324" i="4"/>
  <c r="G342" i="4"/>
  <c r="N4" i="4"/>
  <c r="G43" i="4"/>
  <c r="F5" i="4"/>
  <c r="I23" i="4"/>
  <c r="H23" i="4" s="1"/>
  <c r="G23" i="4" s="1"/>
  <c r="H151" i="4"/>
  <c r="I519" i="4"/>
  <c r="J502" i="4"/>
  <c r="H358" i="4"/>
  <c r="G358" i="4" s="1"/>
  <c r="I357" i="4"/>
  <c r="K433" i="4"/>
  <c r="H433" i="4" s="1"/>
  <c r="K455" i="4"/>
  <c r="AF151" i="4"/>
  <c r="H160" i="4"/>
  <c r="G160" i="4" s="1"/>
  <c r="G130" i="4"/>
  <c r="I5" i="4"/>
  <c r="H6" i="4"/>
  <c r="G6" i="4" s="1"/>
  <c r="J541" i="4"/>
  <c r="H542" i="4"/>
  <c r="G542" i="4" s="1"/>
  <c r="H514" i="4"/>
  <c r="G514" i="4" s="1"/>
  <c r="I502" i="4"/>
  <c r="H471" i="4"/>
  <c r="G471" i="4" s="1"/>
  <c r="H375" i="4"/>
  <c r="G375" i="4" s="1"/>
  <c r="K357" i="4"/>
  <c r="H456" i="4"/>
  <c r="G456" i="4" s="1"/>
  <c r="I455" i="4"/>
  <c r="K400" i="4"/>
  <c r="I37" i="4"/>
  <c r="H37" i="4" s="1"/>
  <c r="AE4" i="4"/>
  <c r="H489" i="1"/>
  <c r="F489" i="1"/>
  <c r="F384" i="1"/>
  <c r="H346" i="1"/>
  <c r="F346" i="1"/>
  <c r="T31" i="1"/>
  <c r="F392" i="1"/>
  <c r="H392" i="1"/>
  <c r="F248" i="1"/>
  <c r="H248" i="1"/>
  <c r="I257" i="4" l="1"/>
  <c r="H257" i="4" s="1"/>
  <c r="G257" i="4" s="1"/>
  <c r="I86" i="4"/>
  <c r="G433" i="4"/>
  <c r="S519" i="4"/>
  <c r="G231" i="4"/>
  <c r="S433" i="4"/>
  <c r="T255" i="4"/>
  <c r="S86" i="4"/>
  <c r="AF4" i="4"/>
  <c r="S482" i="4"/>
  <c r="S231" i="4"/>
  <c r="S168" i="4"/>
  <c r="S377" i="4"/>
  <c r="S5" i="4"/>
  <c r="S151" i="4"/>
  <c r="S210" i="4"/>
  <c r="S324" i="4"/>
  <c r="S357" i="4"/>
  <c r="S37" i="4"/>
  <c r="S502" i="4"/>
  <c r="S400" i="4"/>
  <c r="T256" i="4"/>
  <c r="S256" i="4" s="1"/>
  <c r="S455" i="4"/>
  <c r="I256" i="4"/>
  <c r="H256" i="4" s="1"/>
  <c r="G256" i="4" s="1"/>
  <c r="G377" i="4"/>
  <c r="G168" i="4"/>
  <c r="G151" i="4"/>
  <c r="G482" i="4"/>
  <c r="G210" i="4"/>
  <c r="G37" i="4"/>
  <c r="U4" i="4"/>
  <c r="T4" i="4" s="1"/>
  <c r="H400" i="4"/>
  <c r="G400" i="4" s="1"/>
  <c r="G268" i="4"/>
  <c r="F4" i="4"/>
  <c r="H455" i="4"/>
  <c r="G455" i="4" s="1"/>
  <c r="G324" i="4"/>
  <c r="R255" i="4"/>
  <c r="H502" i="4"/>
  <c r="G502" i="4" s="1"/>
  <c r="K4" i="4"/>
  <c r="H86" i="4"/>
  <c r="G86" i="4" s="1"/>
  <c r="H357" i="4"/>
  <c r="G357" i="4" s="1"/>
  <c r="J519" i="4"/>
  <c r="J4" i="4" s="1"/>
  <c r="H541" i="4"/>
  <c r="G541" i="4" s="1"/>
  <c r="H5" i="4"/>
  <c r="G5" i="4" s="1"/>
  <c r="G346" i="1"/>
  <c r="G392" i="1"/>
  <c r="G248" i="1"/>
  <c r="S411" i="1"/>
  <c r="S424" i="1"/>
  <c r="S566" i="1"/>
  <c r="S516" i="1"/>
  <c r="S532" i="1"/>
  <c r="S494" i="1"/>
  <c r="S505" i="1"/>
  <c r="S499" i="1"/>
  <c r="S474" i="1"/>
  <c r="S486" i="1"/>
  <c r="S479" i="1"/>
  <c r="S483" i="1"/>
  <c r="S459" i="1"/>
  <c r="S456" i="1"/>
  <c r="S255" i="4" l="1"/>
  <c r="R4" i="4"/>
  <c r="S4" i="4" s="1"/>
  <c r="I255" i="4"/>
  <c r="H519" i="4"/>
  <c r="G519" i="4" s="1"/>
  <c r="S462" i="1"/>
  <c r="S447" i="1"/>
  <c r="S436" i="1"/>
  <c r="S432" i="1"/>
  <c r="S440" i="1"/>
  <c r="S427" i="1"/>
  <c r="S419" i="1"/>
  <c r="S399" i="1"/>
  <c r="S381" i="1"/>
  <c r="S360" i="1"/>
  <c r="S363" i="1"/>
  <c r="S368" i="1"/>
  <c r="R328" i="1"/>
  <c r="S328" i="1"/>
  <c r="S335" i="1"/>
  <c r="S340" i="1"/>
  <c r="S323" i="1"/>
  <c r="S235" i="1"/>
  <c r="S229" i="1"/>
  <c r="S277" i="1"/>
  <c r="S259" i="1"/>
  <c r="S256" i="1"/>
  <c r="S208" i="1"/>
  <c r="S221" i="1"/>
  <c r="S167" i="1"/>
  <c r="S189" i="1"/>
  <c r="H255" i="4" l="1"/>
  <c r="G255" i="4" s="1"/>
  <c r="I4" i="4"/>
  <c r="H4" i="4" s="1"/>
  <c r="G4" i="4" s="1"/>
  <c r="S150" i="1"/>
  <c r="S153" i="1"/>
  <c r="R153" i="1"/>
  <c r="S158" i="1"/>
  <c r="S124" i="1"/>
  <c r="K457" i="1"/>
  <c r="K463" i="1"/>
  <c r="J463" i="1"/>
  <c r="L472" i="1"/>
  <c r="L457" i="1"/>
  <c r="K438" i="1"/>
  <c r="K437" i="1"/>
  <c r="K416" i="1"/>
  <c r="M412" i="1"/>
  <c r="K410" i="1"/>
  <c r="M425" i="1"/>
  <c r="M424" i="1" s="1"/>
  <c r="K336" i="1"/>
  <c r="E339" i="1"/>
  <c r="F339" i="1" s="1"/>
  <c r="E338" i="1"/>
  <c r="F338" i="1" s="1"/>
  <c r="F337" i="1"/>
  <c r="E331" i="1"/>
  <c r="F331" i="1" s="1"/>
  <c r="E329" i="1"/>
  <c r="L336" i="1"/>
  <c r="H331" i="1"/>
  <c r="H332" i="1"/>
  <c r="H333" i="1"/>
  <c r="F333" i="1"/>
  <c r="E332" i="1"/>
  <c r="F332" i="1" s="1"/>
  <c r="H337" i="1"/>
  <c r="H338" i="1"/>
  <c r="H339" i="1"/>
  <c r="L464" i="1"/>
  <c r="S253" i="1"/>
  <c r="S311" i="1"/>
  <c r="S92" i="1"/>
  <c r="S85" i="1"/>
  <c r="S43" i="1"/>
  <c r="S38" i="1"/>
  <c r="S6" i="1"/>
  <c r="G331" i="1" l="1"/>
  <c r="G333" i="1"/>
  <c r="G332" i="1"/>
  <c r="G339" i="1"/>
  <c r="G338" i="1"/>
  <c r="G337" i="1"/>
  <c r="L460" i="1"/>
  <c r="K460" i="1"/>
  <c r="H343" i="1"/>
  <c r="F343" i="1"/>
  <c r="E364" i="1"/>
  <c r="L364" i="1"/>
  <c r="E361" i="1"/>
  <c r="E369" i="1"/>
  <c r="K361" i="1"/>
  <c r="F457" i="1"/>
  <c r="G343" i="1" l="1"/>
  <c r="F147" i="1"/>
  <c r="I147" i="1" s="1"/>
  <c r="H147" i="1" s="1"/>
  <c r="G147" i="1" s="1"/>
  <c r="I29" i="1"/>
  <c r="H29" i="1" s="1"/>
  <c r="G29" i="1" s="1"/>
  <c r="R235" i="1" l="1"/>
  <c r="R249" i="1"/>
  <c r="R166" i="1"/>
  <c r="R317" i="1"/>
  <c r="R532" i="1" l="1"/>
  <c r="R516" i="1"/>
  <c r="R493" i="1"/>
  <c r="R473" i="1"/>
  <c r="R459" i="1"/>
  <c r="R456" i="1"/>
  <c r="R426" i="1"/>
  <c r="R393" i="1"/>
  <c r="E425" i="1"/>
  <c r="R370" i="1"/>
  <c r="R350" i="1"/>
  <c r="R259" i="1"/>
  <c r="F262" i="1"/>
  <c r="R446" i="1" l="1"/>
  <c r="R510" i="1"/>
  <c r="L349" i="1"/>
  <c r="K349" i="1"/>
  <c r="H417" i="1"/>
  <c r="F417" i="1"/>
  <c r="K472" i="1"/>
  <c r="K369" i="1"/>
  <c r="L361" i="1"/>
  <c r="L369" i="1"/>
  <c r="F266" i="1"/>
  <c r="E214" i="1"/>
  <c r="G417" i="1" l="1"/>
  <c r="J154" i="1" l="1"/>
  <c r="K154" i="1"/>
  <c r="J206" i="1" l="1"/>
  <c r="N6" i="1" l="1"/>
  <c r="J3" i="1"/>
  <c r="K3" i="1"/>
  <c r="K442" i="1"/>
  <c r="K408" i="1"/>
  <c r="L3" i="1" l="1"/>
  <c r="H3" i="1" s="1"/>
  <c r="H409" i="1" l="1"/>
  <c r="H410" i="1"/>
  <c r="J457" i="1"/>
  <c r="J191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G311" i="1" l="1"/>
  <c r="G306" i="1"/>
  <c r="G307" i="1"/>
  <c r="G308" i="1"/>
  <c r="G314" i="1"/>
  <c r="G313" i="1"/>
  <c r="G315" i="1"/>
  <c r="G312" i="1"/>
  <c r="G316" i="1"/>
  <c r="G310" i="1"/>
  <c r="G309" i="1"/>
  <c r="G305" i="1"/>
  <c r="J327" i="1"/>
  <c r="J479" i="1"/>
  <c r="J187" i="1" l="1"/>
  <c r="M408" i="1"/>
  <c r="H408" i="1" s="1"/>
  <c r="E206" i="1"/>
  <c r="J161" i="1"/>
  <c r="F213" i="1" l="1"/>
  <c r="H213" i="1" s="1"/>
  <c r="G213" i="1" s="1"/>
  <c r="F214" i="1"/>
  <c r="H214" i="1" s="1"/>
  <c r="G214" i="1" s="1"/>
  <c r="F215" i="1"/>
  <c r="H215" i="1" s="1"/>
  <c r="G215" i="1" s="1"/>
  <c r="F216" i="1"/>
  <c r="H216" i="1" s="1"/>
  <c r="G216" i="1" s="1"/>
  <c r="F217" i="1"/>
  <c r="H217" i="1" s="1"/>
  <c r="G217" i="1" s="1"/>
  <c r="F210" i="1"/>
  <c r="H210" i="1" s="1"/>
  <c r="F211" i="1"/>
  <c r="H211" i="1" s="1"/>
  <c r="F212" i="1"/>
  <c r="H212" i="1" s="1"/>
  <c r="G212" i="1" l="1"/>
  <c r="G210" i="1"/>
  <c r="G211" i="1"/>
  <c r="R37" i="1"/>
  <c r="F63" i="1"/>
  <c r="I63" i="1" s="1"/>
  <c r="H63" i="1" s="1"/>
  <c r="E62" i="1"/>
  <c r="F62" i="1" s="1"/>
  <c r="I62" i="1" s="1"/>
  <c r="H62" i="1" s="1"/>
  <c r="H83" i="1"/>
  <c r="F83" i="1"/>
  <c r="H82" i="1"/>
  <c r="F82" i="1"/>
  <c r="H81" i="1"/>
  <c r="F81" i="1"/>
  <c r="S80" i="1"/>
  <c r="T80" i="1" s="1"/>
  <c r="Q80" i="1"/>
  <c r="P80" i="1"/>
  <c r="O80" i="1"/>
  <c r="N80" i="1"/>
  <c r="M80" i="1"/>
  <c r="L80" i="1"/>
  <c r="K80" i="1"/>
  <c r="J80" i="1"/>
  <c r="I80" i="1"/>
  <c r="H64" i="1"/>
  <c r="F64" i="1"/>
  <c r="Q61" i="1"/>
  <c r="P61" i="1"/>
  <c r="O61" i="1"/>
  <c r="N61" i="1"/>
  <c r="M61" i="1"/>
  <c r="L61" i="1"/>
  <c r="K61" i="1"/>
  <c r="J61" i="1"/>
  <c r="G81" i="1" l="1"/>
  <c r="G82" i="1"/>
  <c r="G83" i="1"/>
  <c r="G64" i="1"/>
  <c r="F80" i="1"/>
  <c r="H80" i="1"/>
  <c r="I61" i="1"/>
  <c r="H61" i="1" s="1"/>
  <c r="F61" i="1"/>
  <c r="G63" i="1"/>
  <c r="G62" i="1"/>
  <c r="M456" i="1"/>
  <c r="M452" i="1"/>
  <c r="L459" i="1"/>
  <c r="M459" i="1"/>
  <c r="I438" i="1"/>
  <c r="G80" i="1" l="1"/>
  <c r="G61" i="1"/>
  <c r="F379" i="1"/>
  <c r="H379" i="1" s="1"/>
  <c r="G379" i="1" s="1"/>
  <c r="M335" i="1"/>
  <c r="M340" i="1"/>
  <c r="M348" i="1"/>
  <c r="M351" i="1"/>
  <c r="M356" i="1"/>
  <c r="M360" i="1"/>
  <c r="M363" i="1"/>
  <c r="M366" i="1"/>
  <c r="M368" i="1"/>
  <c r="M371" i="1"/>
  <c r="M376" i="1"/>
  <c r="M381" i="1"/>
  <c r="M385" i="1"/>
  <c r="M419" i="1"/>
  <c r="M427" i="1"/>
  <c r="M432" i="1"/>
  <c r="M436" i="1"/>
  <c r="M440" i="1"/>
  <c r="M444" i="1"/>
  <c r="M447" i="1"/>
  <c r="M462" i="1"/>
  <c r="M471" i="1"/>
  <c r="M474" i="1"/>
  <c r="M479" i="1"/>
  <c r="M483" i="1"/>
  <c r="M486" i="1"/>
  <c r="M491" i="1"/>
  <c r="M494" i="1"/>
  <c r="M499" i="1"/>
  <c r="M503" i="1"/>
  <c r="M505" i="1"/>
  <c r="M508" i="1"/>
  <c r="M511" i="1"/>
  <c r="M516" i="1"/>
  <c r="M532" i="1"/>
  <c r="M566" i="1"/>
  <c r="M570" i="1"/>
  <c r="M328" i="1"/>
  <c r="M323" i="1"/>
  <c r="M318" i="1"/>
  <c r="M300" i="1"/>
  <c r="M296" i="1"/>
  <c r="M293" i="1"/>
  <c r="M290" i="1"/>
  <c r="M287" i="1"/>
  <c r="M282" i="1"/>
  <c r="M277" i="1"/>
  <c r="M274" i="1"/>
  <c r="M270" i="1"/>
  <c r="M265" i="1"/>
  <c r="M259" i="1"/>
  <c r="M256" i="1"/>
  <c r="M253" i="1"/>
  <c r="M249" i="1"/>
  <c r="M246" i="1"/>
  <c r="M235" i="1"/>
  <c r="M229" i="1"/>
  <c r="M226" i="1"/>
  <c r="M221" i="1"/>
  <c r="M208" i="1"/>
  <c r="M205" i="1"/>
  <c r="M201" i="1"/>
  <c r="M195" i="1"/>
  <c r="M189" i="1"/>
  <c r="M186" i="1"/>
  <c r="M183" i="1"/>
  <c r="M179" i="1"/>
  <c r="M173" i="1"/>
  <c r="M167" i="1"/>
  <c r="M163" i="1"/>
  <c r="M158" i="1"/>
  <c r="M153" i="1"/>
  <c r="M150" i="1"/>
  <c r="M144" i="1"/>
  <c r="M139" i="1"/>
  <c r="M128" i="1"/>
  <c r="M124" i="1"/>
  <c r="M120" i="1"/>
  <c r="M116" i="1"/>
  <c r="M112" i="1"/>
  <c r="M108" i="1"/>
  <c r="M104" i="1"/>
  <c r="M99" i="1"/>
  <c r="M92" i="1"/>
  <c r="M85" i="1"/>
  <c r="M77" i="1"/>
  <c r="M71" i="1"/>
  <c r="M65" i="1"/>
  <c r="M56" i="1"/>
  <c r="M50" i="1"/>
  <c r="M43" i="1"/>
  <c r="M38" i="1"/>
  <c r="M34" i="1"/>
  <c r="M31" i="1"/>
  <c r="M28" i="1"/>
  <c r="M17" i="1"/>
  <c r="M6" i="1"/>
  <c r="M24" i="1"/>
  <c r="M37" i="1" l="1"/>
  <c r="M473" i="1"/>
  <c r="M426" i="1"/>
  <c r="M350" i="1"/>
  <c r="M493" i="1"/>
  <c r="M446" i="1"/>
  <c r="M370" i="1"/>
  <c r="M510" i="1"/>
  <c r="M317" i="1"/>
  <c r="M264" i="1"/>
  <c r="M252" i="1"/>
  <c r="M228" i="1"/>
  <c r="M207" i="1"/>
  <c r="M166" i="1"/>
  <c r="M149" i="1"/>
  <c r="M5" i="1"/>
  <c r="M84" i="1"/>
  <c r="M23" i="1"/>
  <c r="R5" i="1" l="1"/>
  <c r="S376" i="1"/>
  <c r="T376" i="1" s="1"/>
  <c r="F571" i="1"/>
  <c r="J571" i="1" s="1"/>
  <c r="F415" i="1"/>
  <c r="H415" i="1"/>
  <c r="G415" i="1" l="1"/>
  <c r="F48" i="1" l="1"/>
  <c r="H48" i="1"/>
  <c r="F22" i="1"/>
  <c r="F21" i="1"/>
  <c r="F20" i="1"/>
  <c r="F19" i="1"/>
  <c r="F18" i="1"/>
  <c r="G48" i="1" l="1"/>
  <c r="F428" i="1" l="1"/>
  <c r="F429" i="1"/>
  <c r="F430" i="1"/>
  <c r="F284" i="1" l="1"/>
  <c r="H284" i="1"/>
  <c r="F285" i="1"/>
  <c r="H285" i="1"/>
  <c r="F326" i="1"/>
  <c r="H326" i="1"/>
  <c r="F534" i="1"/>
  <c r="J534" i="1" s="1"/>
  <c r="H534" i="1" s="1"/>
  <c r="G534" i="1" s="1"/>
  <c r="F535" i="1"/>
  <c r="J535" i="1" s="1"/>
  <c r="H535" i="1" s="1"/>
  <c r="G535" i="1" s="1"/>
  <c r="F536" i="1"/>
  <c r="J536" i="1" s="1"/>
  <c r="H536" i="1" s="1"/>
  <c r="G536" i="1" s="1"/>
  <c r="F537" i="1"/>
  <c r="J537" i="1" s="1"/>
  <c r="H537" i="1" s="1"/>
  <c r="G537" i="1" s="1"/>
  <c r="F538" i="1"/>
  <c r="J538" i="1" s="1"/>
  <c r="H538" i="1" s="1"/>
  <c r="G538" i="1" s="1"/>
  <c r="F539" i="1"/>
  <c r="J539" i="1" s="1"/>
  <c r="H539" i="1" s="1"/>
  <c r="G539" i="1" s="1"/>
  <c r="F540" i="1"/>
  <c r="J540" i="1" s="1"/>
  <c r="H540" i="1" s="1"/>
  <c r="G540" i="1" s="1"/>
  <c r="F541" i="1"/>
  <c r="J541" i="1" s="1"/>
  <c r="H541" i="1" s="1"/>
  <c r="G541" i="1" s="1"/>
  <c r="F542" i="1"/>
  <c r="J542" i="1" s="1"/>
  <c r="H542" i="1" s="1"/>
  <c r="G542" i="1" s="1"/>
  <c r="F543" i="1"/>
  <c r="J543" i="1" s="1"/>
  <c r="H543" i="1" s="1"/>
  <c r="G543" i="1" s="1"/>
  <c r="F544" i="1"/>
  <c r="J544" i="1" s="1"/>
  <c r="H544" i="1" s="1"/>
  <c r="G544" i="1" s="1"/>
  <c r="F545" i="1"/>
  <c r="J545" i="1" s="1"/>
  <c r="H545" i="1" s="1"/>
  <c r="G545" i="1" s="1"/>
  <c r="F546" i="1"/>
  <c r="J546" i="1" s="1"/>
  <c r="H546" i="1" s="1"/>
  <c r="G546" i="1" s="1"/>
  <c r="F547" i="1"/>
  <c r="J547" i="1" s="1"/>
  <c r="H547" i="1" s="1"/>
  <c r="G547" i="1" s="1"/>
  <c r="F548" i="1"/>
  <c r="J548" i="1" s="1"/>
  <c r="H548" i="1" s="1"/>
  <c r="G548" i="1" s="1"/>
  <c r="F549" i="1"/>
  <c r="J549" i="1" s="1"/>
  <c r="H549" i="1" s="1"/>
  <c r="G549" i="1" s="1"/>
  <c r="F550" i="1"/>
  <c r="J550" i="1" s="1"/>
  <c r="H550" i="1" s="1"/>
  <c r="G550" i="1" s="1"/>
  <c r="F551" i="1"/>
  <c r="J551" i="1" s="1"/>
  <c r="H551" i="1" s="1"/>
  <c r="G551" i="1" s="1"/>
  <c r="F552" i="1"/>
  <c r="J552" i="1" s="1"/>
  <c r="H552" i="1" s="1"/>
  <c r="G552" i="1" s="1"/>
  <c r="F553" i="1"/>
  <c r="J553" i="1" s="1"/>
  <c r="H553" i="1" s="1"/>
  <c r="G553" i="1" s="1"/>
  <c r="F554" i="1"/>
  <c r="J554" i="1" s="1"/>
  <c r="H554" i="1" s="1"/>
  <c r="G554" i="1" s="1"/>
  <c r="F555" i="1"/>
  <c r="J555" i="1" s="1"/>
  <c r="H555" i="1" s="1"/>
  <c r="G555" i="1" s="1"/>
  <c r="F556" i="1"/>
  <c r="J556" i="1" s="1"/>
  <c r="H556" i="1" s="1"/>
  <c r="G556" i="1" s="1"/>
  <c r="F557" i="1"/>
  <c r="J557" i="1" s="1"/>
  <c r="H557" i="1" s="1"/>
  <c r="G557" i="1" s="1"/>
  <c r="F558" i="1"/>
  <c r="J558" i="1" s="1"/>
  <c r="H558" i="1" s="1"/>
  <c r="G558" i="1" s="1"/>
  <c r="F559" i="1"/>
  <c r="J559" i="1" s="1"/>
  <c r="H559" i="1" s="1"/>
  <c r="G559" i="1" s="1"/>
  <c r="F560" i="1"/>
  <c r="J560" i="1" s="1"/>
  <c r="H560" i="1" s="1"/>
  <c r="G560" i="1" s="1"/>
  <c r="F561" i="1"/>
  <c r="J561" i="1" s="1"/>
  <c r="H561" i="1" s="1"/>
  <c r="G561" i="1" s="1"/>
  <c r="F562" i="1"/>
  <c r="J562" i="1" s="1"/>
  <c r="H562" i="1" s="1"/>
  <c r="G562" i="1" s="1"/>
  <c r="F563" i="1"/>
  <c r="J563" i="1" s="1"/>
  <c r="H563" i="1" s="1"/>
  <c r="G563" i="1" s="1"/>
  <c r="F564" i="1"/>
  <c r="H564" i="1" s="1"/>
  <c r="G564" i="1" s="1"/>
  <c r="F565" i="1"/>
  <c r="J565" i="1" s="1"/>
  <c r="H565" i="1" s="1"/>
  <c r="G565" i="1" s="1"/>
  <c r="F520" i="1"/>
  <c r="J520" i="1" s="1"/>
  <c r="H520" i="1" s="1"/>
  <c r="G520" i="1" s="1"/>
  <c r="F521" i="1"/>
  <c r="J521" i="1" s="1"/>
  <c r="H521" i="1" s="1"/>
  <c r="G521" i="1" s="1"/>
  <c r="F522" i="1"/>
  <c r="J522" i="1" s="1"/>
  <c r="H522" i="1" s="1"/>
  <c r="G522" i="1" s="1"/>
  <c r="F523" i="1"/>
  <c r="J523" i="1" s="1"/>
  <c r="H523" i="1" s="1"/>
  <c r="G523" i="1" s="1"/>
  <c r="F524" i="1"/>
  <c r="J524" i="1" s="1"/>
  <c r="H524" i="1" s="1"/>
  <c r="G524" i="1" s="1"/>
  <c r="F525" i="1"/>
  <c r="J525" i="1" s="1"/>
  <c r="H525" i="1" s="1"/>
  <c r="G525" i="1" s="1"/>
  <c r="F526" i="1"/>
  <c r="J526" i="1" s="1"/>
  <c r="H526" i="1" s="1"/>
  <c r="G526" i="1" s="1"/>
  <c r="F527" i="1"/>
  <c r="J527" i="1" s="1"/>
  <c r="H527" i="1" s="1"/>
  <c r="G527" i="1" s="1"/>
  <c r="F528" i="1"/>
  <c r="J528" i="1" s="1"/>
  <c r="H528" i="1" s="1"/>
  <c r="G528" i="1" s="1"/>
  <c r="F529" i="1"/>
  <c r="J529" i="1" s="1"/>
  <c r="H529" i="1" s="1"/>
  <c r="G529" i="1" s="1"/>
  <c r="F530" i="1"/>
  <c r="J530" i="1" s="1"/>
  <c r="H530" i="1" s="1"/>
  <c r="G530" i="1" s="1"/>
  <c r="F531" i="1"/>
  <c r="H531" i="1"/>
  <c r="F518" i="1"/>
  <c r="J518" i="1" s="1"/>
  <c r="H518" i="1" s="1"/>
  <c r="G518" i="1" s="1"/>
  <c r="F519" i="1"/>
  <c r="J519" i="1" s="1"/>
  <c r="H519" i="1" s="1"/>
  <c r="G519" i="1" s="1"/>
  <c r="G326" i="1" l="1"/>
  <c r="G284" i="1"/>
  <c r="G285" i="1"/>
  <c r="G531" i="1"/>
  <c r="H55" i="1"/>
  <c r="F55" i="1"/>
  <c r="H54" i="1"/>
  <c r="F54" i="1"/>
  <c r="H53" i="1"/>
  <c r="F53" i="1"/>
  <c r="H52" i="1"/>
  <c r="F52" i="1"/>
  <c r="H51" i="1"/>
  <c r="F51" i="1"/>
  <c r="Q50" i="1"/>
  <c r="P50" i="1"/>
  <c r="O50" i="1"/>
  <c r="N50" i="1"/>
  <c r="L50" i="1"/>
  <c r="K50" i="1"/>
  <c r="J50" i="1"/>
  <c r="I50" i="1"/>
  <c r="T50" i="1"/>
  <c r="H60" i="1"/>
  <c r="F60" i="1"/>
  <c r="H59" i="1"/>
  <c r="F59" i="1"/>
  <c r="F58" i="1"/>
  <c r="H57" i="1"/>
  <c r="F57" i="1"/>
  <c r="Q56" i="1"/>
  <c r="P56" i="1"/>
  <c r="O56" i="1"/>
  <c r="N56" i="1"/>
  <c r="L56" i="1"/>
  <c r="K56" i="1"/>
  <c r="J56" i="1"/>
  <c r="I56" i="1"/>
  <c r="T56" i="1"/>
  <c r="H70" i="1"/>
  <c r="F70" i="1"/>
  <c r="H69" i="1"/>
  <c r="F69" i="1"/>
  <c r="H68" i="1"/>
  <c r="F68" i="1"/>
  <c r="H67" i="1"/>
  <c r="F67" i="1"/>
  <c r="H66" i="1"/>
  <c r="F66" i="1"/>
  <c r="Q65" i="1"/>
  <c r="P65" i="1"/>
  <c r="O65" i="1"/>
  <c r="N65" i="1"/>
  <c r="L65" i="1"/>
  <c r="K65" i="1"/>
  <c r="J65" i="1"/>
  <c r="I65" i="1"/>
  <c r="T65" i="1"/>
  <c r="H247" i="1"/>
  <c r="F247" i="1"/>
  <c r="Q246" i="1"/>
  <c r="P246" i="1"/>
  <c r="O246" i="1"/>
  <c r="N246" i="1"/>
  <c r="L246" i="1"/>
  <c r="K246" i="1"/>
  <c r="J246" i="1"/>
  <c r="I246" i="1"/>
  <c r="S246" i="1"/>
  <c r="T246" i="1" s="1"/>
  <c r="F15" i="1"/>
  <c r="H15" i="1" s="1"/>
  <c r="G15" i="1" s="1"/>
  <c r="H269" i="1"/>
  <c r="G57" i="1" l="1"/>
  <c r="G60" i="1"/>
  <c r="H56" i="1"/>
  <c r="F65" i="1"/>
  <c r="G52" i="1"/>
  <c r="G59" i="1"/>
  <c r="F50" i="1"/>
  <c r="G247" i="1"/>
  <c r="H65" i="1"/>
  <c r="G68" i="1"/>
  <c r="G58" i="1"/>
  <c r="H50" i="1"/>
  <c r="G53" i="1"/>
  <c r="F56" i="1"/>
  <c r="G51" i="1"/>
  <c r="G54" i="1"/>
  <c r="G55" i="1"/>
  <c r="H246" i="1"/>
  <c r="F246" i="1"/>
  <c r="G69" i="1"/>
  <c r="G67" i="1"/>
  <c r="G66" i="1"/>
  <c r="G70" i="1"/>
  <c r="R228" i="1"/>
  <c r="P249" i="1"/>
  <c r="O249" i="1"/>
  <c r="N249" i="1"/>
  <c r="L249" i="1"/>
  <c r="K249" i="1"/>
  <c r="J249" i="1"/>
  <c r="I249" i="1"/>
  <c r="S249" i="1"/>
  <c r="T249" i="1" s="1"/>
  <c r="H251" i="1"/>
  <c r="F251" i="1"/>
  <c r="F250" i="1"/>
  <c r="Q249" i="1" s="1"/>
  <c r="F260" i="1"/>
  <c r="I260" i="1" s="1"/>
  <c r="H260" i="1" s="1"/>
  <c r="F258" i="1"/>
  <c r="F257" i="1"/>
  <c r="I257" i="1" s="1"/>
  <c r="H257" i="1" s="1"/>
  <c r="F255" i="1"/>
  <c r="F237" i="1"/>
  <c r="F238" i="1"/>
  <c r="F239" i="1"/>
  <c r="F240" i="1"/>
  <c r="F231" i="1"/>
  <c r="F232" i="1"/>
  <c r="F233" i="1"/>
  <c r="F234" i="1"/>
  <c r="R149" i="1"/>
  <c r="R207" i="1"/>
  <c r="R277" i="1"/>
  <c r="R252" i="1"/>
  <c r="P570" i="1"/>
  <c r="P566" i="1"/>
  <c r="P532" i="1"/>
  <c r="P516" i="1"/>
  <c r="P511" i="1"/>
  <c r="P508" i="1"/>
  <c r="P505" i="1"/>
  <c r="P503" i="1"/>
  <c r="P499" i="1"/>
  <c r="P494" i="1"/>
  <c r="P491" i="1"/>
  <c r="P486" i="1"/>
  <c r="P483" i="1"/>
  <c r="P479" i="1"/>
  <c r="P474" i="1"/>
  <c r="P471" i="1"/>
  <c r="P468" i="1"/>
  <c r="P462" i="1"/>
  <c r="P459" i="1"/>
  <c r="P456" i="1"/>
  <c r="P452" i="1"/>
  <c r="P447" i="1"/>
  <c r="P444" i="1"/>
  <c r="P440" i="1"/>
  <c r="P436" i="1"/>
  <c r="P432" i="1"/>
  <c r="P424" i="1"/>
  <c r="P427" i="1"/>
  <c r="P419" i="1"/>
  <c r="P411" i="1"/>
  <c r="P399" i="1"/>
  <c r="P407" i="1"/>
  <c r="P394" i="1"/>
  <c r="P391" i="1"/>
  <c r="P385" i="1"/>
  <c r="P381" i="1"/>
  <c r="P376" i="1"/>
  <c r="P368" i="1"/>
  <c r="P371" i="1"/>
  <c r="P366" i="1"/>
  <c r="P363" i="1"/>
  <c r="P360" i="1"/>
  <c r="P356" i="1"/>
  <c r="P351" i="1"/>
  <c r="P348" i="1"/>
  <c r="P340" i="1"/>
  <c r="P335" i="1"/>
  <c r="P328" i="1"/>
  <c r="P323" i="1"/>
  <c r="P318" i="1"/>
  <c r="P300" i="1"/>
  <c r="P296" i="1"/>
  <c r="P293" i="1"/>
  <c r="P290" i="1"/>
  <c r="P287" i="1"/>
  <c r="P282" i="1"/>
  <c r="P277" i="1"/>
  <c r="P274" i="1"/>
  <c r="P270" i="1"/>
  <c r="P265" i="1"/>
  <c r="P259" i="1"/>
  <c r="P256" i="1"/>
  <c r="P229" i="1"/>
  <c r="P226" i="1"/>
  <c r="P221" i="1"/>
  <c r="P208" i="1"/>
  <c r="P205" i="1"/>
  <c r="P201" i="1"/>
  <c r="P195" i="1"/>
  <c r="P189" i="1"/>
  <c r="P186" i="1"/>
  <c r="P183" i="1"/>
  <c r="P179" i="1"/>
  <c r="P173" i="1"/>
  <c r="P167" i="1"/>
  <c r="P163" i="1"/>
  <c r="P158" i="1"/>
  <c r="P153" i="1"/>
  <c r="P150" i="1"/>
  <c r="P144" i="1"/>
  <c r="P139" i="1"/>
  <c r="P128" i="1"/>
  <c r="P124" i="1"/>
  <c r="P120" i="1"/>
  <c r="P116" i="1"/>
  <c r="P112" i="1"/>
  <c r="P108" i="1"/>
  <c r="P104" i="1"/>
  <c r="P99" i="1"/>
  <c r="P92" i="1"/>
  <c r="P85" i="1"/>
  <c r="P77" i="1"/>
  <c r="P71" i="1"/>
  <c r="P43" i="1"/>
  <c r="P38" i="1"/>
  <c r="P34" i="1"/>
  <c r="P31" i="1"/>
  <c r="P28" i="1"/>
  <c r="P24" i="1"/>
  <c r="P17" i="1"/>
  <c r="P6" i="1"/>
  <c r="F132" i="1"/>
  <c r="I132" i="1" s="1"/>
  <c r="H132" i="1" s="1"/>
  <c r="G132" i="1" s="1"/>
  <c r="F131" i="1"/>
  <c r="I131" i="1" s="1"/>
  <c r="H131" i="1" s="1"/>
  <c r="G131" i="1" s="1"/>
  <c r="R84" i="1"/>
  <c r="R23" i="1"/>
  <c r="I19" i="1"/>
  <c r="H19" i="1" s="1"/>
  <c r="H20" i="1"/>
  <c r="I21" i="1"/>
  <c r="H21" i="1" s="1"/>
  <c r="G21" i="1" s="1"/>
  <c r="I18" i="1"/>
  <c r="H18" i="1" s="1"/>
  <c r="G18" i="1" s="1"/>
  <c r="I22" i="1"/>
  <c r="H22" i="1" s="1"/>
  <c r="Q6" i="1"/>
  <c r="O6" i="1"/>
  <c r="L6" i="1"/>
  <c r="J6" i="1"/>
  <c r="K6" i="1"/>
  <c r="F16" i="1"/>
  <c r="I16" i="1" s="1"/>
  <c r="H16" i="1" s="1"/>
  <c r="G16" i="1" s="1"/>
  <c r="F14" i="1"/>
  <c r="I14" i="1" s="1"/>
  <c r="H14" i="1" s="1"/>
  <c r="F13" i="1"/>
  <c r="I13" i="1" s="1"/>
  <c r="H13" i="1" s="1"/>
  <c r="F12" i="1"/>
  <c r="I12" i="1" s="1"/>
  <c r="H12" i="1" s="1"/>
  <c r="F11" i="1"/>
  <c r="I11" i="1" s="1"/>
  <c r="H11" i="1" s="1"/>
  <c r="G11" i="1" s="1"/>
  <c r="F10" i="1"/>
  <c r="I10" i="1" s="1"/>
  <c r="H10" i="1" s="1"/>
  <c r="F9" i="1"/>
  <c r="I9" i="1" s="1"/>
  <c r="H9" i="1" s="1"/>
  <c r="F8" i="1"/>
  <c r="I8" i="1" s="1"/>
  <c r="H8" i="1" s="1"/>
  <c r="Q570" i="1"/>
  <c r="O570" i="1"/>
  <c r="N570" i="1"/>
  <c r="L570" i="1"/>
  <c r="K570" i="1"/>
  <c r="J570" i="1"/>
  <c r="I570" i="1"/>
  <c r="T570" i="1"/>
  <c r="Q566" i="1"/>
  <c r="O566" i="1"/>
  <c r="N566" i="1"/>
  <c r="L566" i="1"/>
  <c r="K566" i="1"/>
  <c r="J566" i="1"/>
  <c r="T566" i="1"/>
  <c r="Q532" i="1"/>
  <c r="O532" i="1"/>
  <c r="N532" i="1"/>
  <c r="L532" i="1"/>
  <c r="K532" i="1"/>
  <c r="I532" i="1"/>
  <c r="T532" i="1"/>
  <c r="Q516" i="1"/>
  <c r="O516" i="1"/>
  <c r="N516" i="1"/>
  <c r="L516" i="1"/>
  <c r="K516" i="1"/>
  <c r="I516" i="1"/>
  <c r="T516" i="1"/>
  <c r="Q511" i="1"/>
  <c r="O511" i="1"/>
  <c r="N511" i="1"/>
  <c r="L511" i="1"/>
  <c r="K511" i="1"/>
  <c r="J511" i="1"/>
  <c r="T511" i="1"/>
  <c r="Q508" i="1"/>
  <c r="O508" i="1"/>
  <c r="N508" i="1"/>
  <c r="L508" i="1"/>
  <c r="K508" i="1"/>
  <c r="J508" i="1"/>
  <c r="I508" i="1"/>
  <c r="S508" i="1"/>
  <c r="Q505" i="1"/>
  <c r="O505" i="1"/>
  <c r="N505" i="1"/>
  <c r="L505" i="1"/>
  <c r="K505" i="1"/>
  <c r="J505" i="1"/>
  <c r="Q503" i="1"/>
  <c r="O503" i="1"/>
  <c r="N503" i="1"/>
  <c r="L503" i="1"/>
  <c r="K503" i="1"/>
  <c r="J503" i="1"/>
  <c r="I503" i="1"/>
  <c r="S503" i="1"/>
  <c r="Q499" i="1"/>
  <c r="O499" i="1"/>
  <c r="N499" i="1"/>
  <c r="L499" i="1"/>
  <c r="K499" i="1"/>
  <c r="I499" i="1"/>
  <c r="T499" i="1"/>
  <c r="Q494" i="1"/>
  <c r="O494" i="1"/>
  <c r="N494" i="1"/>
  <c r="L494" i="1"/>
  <c r="K494" i="1"/>
  <c r="J494" i="1"/>
  <c r="T494" i="1"/>
  <c r="Q491" i="1"/>
  <c r="O491" i="1"/>
  <c r="N491" i="1"/>
  <c r="L491" i="1"/>
  <c r="K491" i="1"/>
  <c r="J491" i="1"/>
  <c r="I491" i="1"/>
  <c r="S491" i="1"/>
  <c r="Q486" i="1"/>
  <c r="O486" i="1"/>
  <c r="N486" i="1"/>
  <c r="L486" i="1"/>
  <c r="K486" i="1"/>
  <c r="J486" i="1"/>
  <c r="I486" i="1"/>
  <c r="T486" i="1"/>
  <c r="Q483" i="1"/>
  <c r="O483" i="1"/>
  <c r="N483" i="1"/>
  <c r="L483" i="1"/>
  <c r="K483" i="1"/>
  <c r="J483" i="1"/>
  <c r="I483" i="1"/>
  <c r="T483" i="1"/>
  <c r="Q479" i="1"/>
  <c r="O479" i="1"/>
  <c r="N479" i="1"/>
  <c r="L479" i="1"/>
  <c r="K479" i="1"/>
  <c r="I479" i="1"/>
  <c r="T479" i="1"/>
  <c r="Q474" i="1"/>
  <c r="O474" i="1"/>
  <c r="N474" i="1"/>
  <c r="L474" i="1"/>
  <c r="K474" i="1"/>
  <c r="J474" i="1"/>
  <c r="Q471" i="1"/>
  <c r="O471" i="1"/>
  <c r="N471" i="1"/>
  <c r="L471" i="1"/>
  <c r="K471" i="1"/>
  <c r="J471" i="1"/>
  <c r="I471" i="1"/>
  <c r="T471" i="1"/>
  <c r="Q468" i="1"/>
  <c r="O468" i="1"/>
  <c r="N468" i="1"/>
  <c r="K468" i="1"/>
  <c r="J468" i="1"/>
  <c r="I468" i="1"/>
  <c r="T468" i="1"/>
  <c r="Q462" i="1"/>
  <c r="O462" i="1"/>
  <c r="N462" i="1"/>
  <c r="L462" i="1"/>
  <c r="K462" i="1"/>
  <c r="J462" i="1"/>
  <c r="I462" i="1"/>
  <c r="T462" i="1"/>
  <c r="Q459" i="1"/>
  <c r="O459" i="1"/>
  <c r="N459" i="1"/>
  <c r="K459" i="1"/>
  <c r="J459" i="1"/>
  <c r="I459" i="1"/>
  <c r="T459" i="1"/>
  <c r="Q456" i="1"/>
  <c r="O456" i="1"/>
  <c r="N456" i="1"/>
  <c r="L456" i="1"/>
  <c r="K456" i="1"/>
  <c r="J456" i="1"/>
  <c r="I456" i="1"/>
  <c r="T456" i="1"/>
  <c r="Q452" i="1"/>
  <c r="O452" i="1"/>
  <c r="N452" i="1"/>
  <c r="L452" i="1"/>
  <c r="K452" i="1"/>
  <c r="I452" i="1"/>
  <c r="T452" i="1"/>
  <c r="Q447" i="1"/>
  <c r="O447" i="1"/>
  <c r="N447" i="1"/>
  <c r="L447" i="1"/>
  <c r="K447" i="1"/>
  <c r="J447" i="1"/>
  <c r="T447" i="1"/>
  <c r="Q444" i="1"/>
  <c r="O444" i="1"/>
  <c r="N444" i="1"/>
  <c r="L444" i="1"/>
  <c r="I444" i="1"/>
  <c r="T444" i="1"/>
  <c r="Q440" i="1"/>
  <c r="O440" i="1"/>
  <c r="N440" i="1"/>
  <c r="L440" i="1"/>
  <c r="K440" i="1"/>
  <c r="J440" i="1"/>
  <c r="I440" i="1"/>
  <c r="T440" i="1"/>
  <c r="Q436" i="1"/>
  <c r="O436" i="1"/>
  <c r="N436" i="1"/>
  <c r="L436" i="1"/>
  <c r="K436" i="1"/>
  <c r="K444" i="1" s="1"/>
  <c r="J436" i="1"/>
  <c r="I436" i="1"/>
  <c r="T436" i="1"/>
  <c r="Q432" i="1"/>
  <c r="O432" i="1"/>
  <c r="N432" i="1"/>
  <c r="L432" i="1"/>
  <c r="K432" i="1"/>
  <c r="I432" i="1"/>
  <c r="T432" i="1"/>
  <c r="Q427" i="1"/>
  <c r="O427" i="1"/>
  <c r="N427" i="1"/>
  <c r="L427" i="1"/>
  <c r="K427" i="1"/>
  <c r="J427" i="1"/>
  <c r="Q424" i="1"/>
  <c r="O424" i="1"/>
  <c r="N424" i="1"/>
  <c r="L424" i="1"/>
  <c r="K424" i="1"/>
  <c r="J424" i="1"/>
  <c r="I424" i="1"/>
  <c r="T424" i="1"/>
  <c r="Q419" i="1"/>
  <c r="O419" i="1"/>
  <c r="N419" i="1"/>
  <c r="L419" i="1"/>
  <c r="K419" i="1"/>
  <c r="J419" i="1"/>
  <c r="I419" i="1"/>
  <c r="T419" i="1"/>
  <c r="Q411" i="1"/>
  <c r="O411" i="1"/>
  <c r="N411" i="1"/>
  <c r="L411" i="1"/>
  <c r="K411" i="1"/>
  <c r="J411" i="1"/>
  <c r="I411" i="1"/>
  <c r="T411" i="1"/>
  <c r="Q399" i="1"/>
  <c r="O399" i="1"/>
  <c r="N399" i="1"/>
  <c r="L399" i="1"/>
  <c r="K399" i="1"/>
  <c r="J399" i="1"/>
  <c r="I399" i="1"/>
  <c r="T399" i="1"/>
  <c r="Q407" i="1"/>
  <c r="O407" i="1"/>
  <c r="N407" i="1"/>
  <c r="L407" i="1"/>
  <c r="K407" i="1"/>
  <c r="J407" i="1"/>
  <c r="I407" i="1"/>
  <c r="T407" i="1"/>
  <c r="Q394" i="1"/>
  <c r="O394" i="1"/>
  <c r="N394" i="1"/>
  <c r="L394" i="1"/>
  <c r="K394" i="1"/>
  <c r="J394" i="1"/>
  <c r="T394" i="1"/>
  <c r="Q391" i="1"/>
  <c r="O391" i="1"/>
  <c r="N391" i="1"/>
  <c r="L391" i="1"/>
  <c r="K391" i="1"/>
  <c r="J391" i="1"/>
  <c r="I391" i="1"/>
  <c r="S391" i="1"/>
  <c r="Q385" i="1"/>
  <c r="O385" i="1"/>
  <c r="N385" i="1"/>
  <c r="L385" i="1"/>
  <c r="K385" i="1"/>
  <c r="J385" i="1"/>
  <c r="T385" i="1"/>
  <c r="Q381" i="1"/>
  <c r="O381" i="1"/>
  <c r="N381" i="1"/>
  <c r="L381" i="1"/>
  <c r="K381" i="1"/>
  <c r="J381" i="1"/>
  <c r="T381" i="1"/>
  <c r="Q376" i="1"/>
  <c r="O376" i="1"/>
  <c r="N376" i="1"/>
  <c r="L376" i="1"/>
  <c r="K376" i="1"/>
  <c r="J376" i="1"/>
  <c r="Q371" i="1"/>
  <c r="O371" i="1"/>
  <c r="N371" i="1"/>
  <c r="L371" i="1"/>
  <c r="K371" i="1"/>
  <c r="J371" i="1"/>
  <c r="T371" i="1"/>
  <c r="H458" i="1"/>
  <c r="F458" i="1"/>
  <c r="H457" i="1"/>
  <c r="H362" i="1"/>
  <c r="F362" i="1"/>
  <c r="H361" i="1"/>
  <c r="F361" i="1"/>
  <c r="Q360" i="1"/>
  <c r="O360" i="1"/>
  <c r="N360" i="1"/>
  <c r="L360" i="1"/>
  <c r="K360" i="1"/>
  <c r="J360" i="1"/>
  <c r="I360" i="1"/>
  <c r="T360" i="1"/>
  <c r="H334" i="1"/>
  <c r="F334" i="1"/>
  <c r="H330" i="1"/>
  <c r="F330" i="1"/>
  <c r="H329" i="1"/>
  <c r="F329" i="1"/>
  <c r="Q328" i="1"/>
  <c r="O328" i="1"/>
  <c r="N328" i="1"/>
  <c r="L328" i="1"/>
  <c r="K328" i="1"/>
  <c r="J328" i="1"/>
  <c r="I328" i="1"/>
  <c r="T328" i="1"/>
  <c r="S366" i="1"/>
  <c r="T363" i="1"/>
  <c r="S356" i="1"/>
  <c r="S351" i="1"/>
  <c r="T351" i="1" s="1"/>
  <c r="T348" i="1"/>
  <c r="T340" i="1"/>
  <c r="T335" i="1"/>
  <c r="T323" i="1"/>
  <c r="T318" i="1"/>
  <c r="T316" i="1"/>
  <c r="T315" i="1"/>
  <c r="T314" i="1"/>
  <c r="T313" i="1"/>
  <c r="T312" i="1"/>
  <c r="T311" i="1"/>
  <c r="T310" i="1"/>
  <c r="T309" i="1"/>
  <c r="T308" i="1"/>
  <c r="T307" i="1"/>
  <c r="T305" i="1"/>
  <c r="Q300" i="1"/>
  <c r="O300" i="1"/>
  <c r="N300" i="1"/>
  <c r="L300" i="1"/>
  <c r="K300" i="1"/>
  <c r="J300" i="1"/>
  <c r="T300" i="1"/>
  <c r="Q296" i="1"/>
  <c r="O296" i="1"/>
  <c r="N296" i="1"/>
  <c r="L296" i="1"/>
  <c r="K296" i="1"/>
  <c r="J296" i="1"/>
  <c r="T296" i="1"/>
  <c r="Q293" i="1"/>
  <c r="O293" i="1"/>
  <c r="N293" i="1"/>
  <c r="L293" i="1"/>
  <c r="K293" i="1"/>
  <c r="J293" i="1"/>
  <c r="T293" i="1"/>
  <c r="Q290" i="1"/>
  <c r="O290" i="1"/>
  <c r="N290" i="1"/>
  <c r="L290" i="1"/>
  <c r="K290" i="1"/>
  <c r="J290" i="1"/>
  <c r="S290" i="1"/>
  <c r="T290" i="1" s="1"/>
  <c r="Q287" i="1"/>
  <c r="O287" i="1"/>
  <c r="N287" i="1"/>
  <c r="L287" i="1"/>
  <c r="K287" i="1"/>
  <c r="J287" i="1"/>
  <c r="T287" i="1"/>
  <c r="Q282" i="1"/>
  <c r="O282" i="1"/>
  <c r="N282" i="1"/>
  <c r="L282" i="1"/>
  <c r="K282" i="1"/>
  <c r="J282" i="1"/>
  <c r="S282" i="1"/>
  <c r="Q277" i="1"/>
  <c r="O277" i="1"/>
  <c r="N277" i="1"/>
  <c r="L277" i="1"/>
  <c r="K277" i="1"/>
  <c r="J277" i="1"/>
  <c r="Q274" i="1"/>
  <c r="O274" i="1"/>
  <c r="N274" i="1"/>
  <c r="L274" i="1"/>
  <c r="K274" i="1"/>
  <c r="J274" i="1"/>
  <c r="T274" i="1"/>
  <c r="Q270" i="1"/>
  <c r="O270" i="1"/>
  <c r="N270" i="1"/>
  <c r="L270" i="1"/>
  <c r="K270" i="1"/>
  <c r="J270" i="1"/>
  <c r="T270" i="1"/>
  <c r="Q265" i="1"/>
  <c r="O265" i="1"/>
  <c r="N265" i="1"/>
  <c r="L265" i="1"/>
  <c r="K265" i="1"/>
  <c r="J265" i="1"/>
  <c r="I265" i="1"/>
  <c r="T265" i="1"/>
  <c r="Q235" i="1"/>
  <c r="O235" i="1"/>
  <c r="N235" i="1"/>
  <c r="L235" i="1"/>
  <c r="K235" i="1"/>
  <c r="J235" i="1"/>
  <c r="I235" i="1"/>
  <c r="Q229" i="1"/>
  <c r="O229" i="1"/>
  <c r="N229" i="1"/>
  <c r="L229" i="1"/>
  <c r="K229" i="1"/>
  <c r="J229" i="1"/>
  <c r="I229" i="1"/>
  <c r="Q226" i="1"/>
  <c r="O226" i="1"/>
  <c r="N226" i="1"/>
  <c r="L226" i="1"/>
  <c r="K226" i="1"/>
  <c r="I226" i="1"/>
  <c r="T226" i="1"/>
  <c r="Q221" i="1"/>
  <c r="O221" i="1"/>
  <c r="N221" i="1"/>
  <c r="L221" i="1"/>
  <c r="K221" i="1"/>
  <c r="I221" i="1"/>
  <c r="T221" i="1"/>
  <c r="Q208" i="1"/>
  <c r="O208" i="1"/>
  <c r="N208" i="1"/>
  <c r="L208" i="1"/>
  <c r="K208" i="1"/>
  <c r="I208" i="1"/>
  <c r="T208" i="1"/>
  <c r="T205" i="1"/>
  <c r="Q201" i="1"/>
  <c r="O201" i="1"/>
  <c r="N201" i="1"/>
  <c r="L201" i="1"/>
  <c r="K201" i="1"/>
  <c r="J201" i="1"/>
  <c r="I201" i="1"/>
  <c r="S201" i="1"/>
  <c r="Q195" i="1"/>
  <c r="O195" i="1"/>
  <c r="N195" i="1"/>
  <c r="L195" i="1"/>
  <c r="K195" i="1"/>
  <c r="J195" i="1"/>
  <c r="I195" i="1"/>
  <c r="S195" i="1"/>
  <c r="T195" i="1" s="1"/>
  <c r="Q189" i="1"/>
  <c r="O189" i="1"/>
  <c r="N189" i="1"/>
  <c r="L189" i="1"/>
  <c r="K189" i="1"/>
  <c r="J189" i="1"/>
  <c r="I189" i="1"/>
  <c r="T189" i="1"/>
  <c r="Q186" i="1"/>
  <c r="O186" i="1"/>
  <c r="N186" i="1"/>
  <c r="L186" i="1"/>
  <c r="K186" i="1"/>
  <c r="I186" i="1"/>
  <c r="S186" i="1"/>
  <c r="Q183" i="1"/>
  <c r="O183" i="1"/>
  <c r="N183" i="1"/>
  <c r="L183" i="1"/>
  <c r="K183" i="1"/>
  <c r="J183" i="1"/>
  <c r="I183" i="1"/>
  <c r="S183" i="1"/>
  <c r="T183" i="1" s="1"/>
  <c r="Q179" i="1"/>
  <c r="O179" i="1"/>
  <c r="N179" i="1"/>
  <c r="L179" i="1"/>
  <c r="K179" i="1"/>
  <c r="J179" i="1"/>
  <c r="I179" i="1"/>
  <c r="S179" i="1"/>
  <c r="T179" i="1" s="1"/>
  <c r="Q173" i="1"/>
  <c r="O173" i="1"/>
  <c r="N173" i="1"/>
  <c r="L173" i="1"/>
  <c r="K173" i="1"/>
  <c r="J173" i="1"/>
  <c r="I173" i="1"/>
  <c r="S173" i="1"/>
  <c r="T173" i="1" s="1"/>
  <c r="Q167" i="1"/>
  <c r="O167" i="1"/>
  <c r="N167" i="1"/>
  <c r="L167" i="1"/>
  <c r="K167" i="1"/>
  <c r="J167" i="1"/>
  <c r="I167" i="1"/>
  <c r="T167" i="1"/>
  <c r="Q163" i="1"/>
  <c r="O163" i="1"/>
  <c r="N163" i="1"/>
  <c r="L163" i="1"/>
  <c r="K163" i="1"/>
  <c r="J163" i="1"/>
  <c r="I163" i="1"/>
  <c r="T163" i="1"/>
  <c r="Q158" i="1"/>
  <c r="O158" i="1"/>
  <c r="N158" i="1"/>
  <c r="L158" i="1"/>
  <c r="K158" i="1"/>
  <c r="J158" i="1"/>
  <c r="I158" i="1"/>
  <c r="T158" i="1"/>
  <c r="Q153" i="1"/>
  <c r="O153" i="1"/>
  <c r="N153" i="1"/>
  <c r="L153" i="1"/>
  <c r="K153" i="1"/>
  <c r="J153" i="1"/>
  <c r="I153" i="1"/>
  <c r="T153" i="1"/>
  <c r="Q150" i="1"/>
  <c r="O150" i="1"/>
  <c r="N150" i="1"/>
  <c r="L150" i="1"/>
  <c r="K150" i="1"/>
  <c r="J150" i="1"/>
  <c r="I150" i="1"/>
  <c r="T150" i="1"/>
  <c r="Q144" i="1"/>
  <c r="O144" i="1"/>
  <c r="N144" i="1"/>
  <c r="L144" i="1"/>
  <c r="K144" i="1"/>
  <c r="J144" i="1"/>
  <c r="T144" i="1"/>
  <c r="S139" i="1"/>
  <c r="T139" i="1" s="1"/>
  <c r="Q128" i="1"/>
  <c r="O128" i="1"/>
  <c r="N128" i="1"/>
  <c r="L128" i="1"/>
  <c r="K128" i="1"/>
  <c r="J128" i="1"/>
  <c r="T128" i="1"/>
  <c r="O124" i="1"/>
  <c r="N124" i="1"/>
  <c r="L124" i="1"/>
  <c r="K124" i="1"/>
  <c r="J124" i="1"/>
  <c r="I124" i="1"/>
  <c r="T124" i="1"/>
  <c r="Q120" i="1"/>
  <c r="O120" i="1"/>
  <c r="N120" i="1"/>
  <c r="L120" i="1"/>
  <c r="K120" i="1"/>
  <c r="J120" i="1"/>
  <c r="I120" i="1"/>
  <c r="S120" i="1"/>
  <c r="Q116" i="1"/>
  <c r="O116" i="1"/>
  <c r="N116" i="1"/>
  <c r="L116" i="1"/>
  <c r="K116" i="1"/>
  <c r="J116" i="1"/>
  <c r="I116" i="1"/>
  <c r="T116" i="1"/>
  <c r="Q112" i="1"/>
  <c r="O112" i="1"/>
  <c r="N112" i="1"/>
  <c r="L112" i="1"/>
  <c r="K112" i="1"/>
  <c r="J112" i="1"/>
  <c r="I112" i="1"/>
  <c r="S112" i="1"/>
  <c r="Q108" i="1"/>
  <c r="O108" i="1"/>
  <c r="N108" i="1"/>
  <c r="L108" i="1"/>
  <c r="K108" i="1"/>
  <c r="J108" i="1"/>
  <c r="I108" i="1"/>
  <c r="T108" i="1"/>
  <c r="Q104" i="1"/>
  <c r="O104" i="1"/>
  <c r="N104" i="1"/>
  <c r="L104" i="1"/>
  <c r="K104" i="1"/>
  <c r="J104" i="1"/>
  <c r="I104" i="1"/>
  <c r="T104" i="1"/>
  <c r="Q99" i="1"/>
  <c r="O99" i="1"/>
  <c r="N99" i="1"/>
  <c r="L99" i="1"/>
  <c r="K99" i="1"/>
  <c r="J99" i="1"/>
  <c r="I99" i="1"/>
  <c r="T99" i="1"/>
  <c r="H571" i="1"/>
  <c r="H569" i="1"/>
  <c r="H568" i="1"/>
  <c r="H515" i="1"/>
  <c r="H509" i="1"/>
  <c r="H507" i="1"/>
  <c r="H504" i="1"/>
  <c r="H502" i="1"/>
  <c r="H501" i="1"/>
  <c r="H498" i="1"/>
  <c r="H492" i="1"/>
  <c r="H490" i="1"/>
  <c r="H488" i="1"/>
  <c r="H487" i="1"/>
  <c r="H485" i="1"/>
  <c r="H484" i="1"/>
  <c r="H482" i="1"/>
  <c r="H481" i="1"/>
  <c r="H480" i="1"/>
  <c r="H478" i="1"/>
  <c r="H472" i="1"/>
  <c r="H470" i="1"/>
  <c r="H469" i="1"/>
  <c r="H467" i="1"/>
  <c r="H466" i="1"/>
  <c r="H465" i="1"/>
  <c r="H464" i="1"/>
  <c r="H463" i="1"/>
  <c r="H461" i="1"/>
  <c r="H460" i="1"/>
  <c r="H443" i="1"/>
  <c r="H442" i="1"/>
  <c r="H441" i="1"/>
  <c r="H439" i="1"/>
  <c r="H438" i="1"/>
  <c r="H437" i="1"/>
  <c r="H435" i="1"/>
  <c r="H431" i="1"/>
  <c r="H425" i="1"/>
  <c r="H423" i="1"/>
  <c r="H422" i="1"/>
  <c r="H421" i="1"/>
  <c r="H420" i="1"/>
  <c r="H405" i="1"/>
  <c r="H404" i="1"/>
  <c r="H403" i="1"/>
  <c r="H402" i="1"/>
  <c r="H401" i="1"/>
  <c r="H400" i="1"/>
  <c r="H390" i="1"/>
  <c r="H389" i="1"/>
  <c r="H388" i="1"/>
  <c r="H384" i="1"/>
  <c r="H380" i="1"/>
  <c r="H377" i="1"/>
  <c r="H369" i="1"/>
  <c r="H367" i="1"/>
  <c r="H365" i="1"/>
  <c r="H364" i="1"/>
  <c r="H359" i="1"/>
  <c r="H358" i="1"/>
  <c r="H357" i="1"/>
  <c r="H349" i="1"/>
  <c r="H347" i="1"/>
  <c r="H345" i="1"/>
  <c r="H344" i="1"/>
  <c r="H342" i="1"/>
  <c r="H341" i="1"/>
  <c r="H336" i="1"/>
  <c r="H327" i="1"/>
  <c r="H325" i="1"/>
  <c r="H324" i="1"/>
  <c r="H304" i="1"/>
  <c r="H303" i="1"/>
  <c r="H302" i="1"/>
  <c r="H299" i="1"/>
  <c r="H298" i="1"/>
  <c r="H295" i="1"/>
  <c r="H292" i="1"/>
  <c r="H289" i="1"/>
  <c r="H286" i="1"/>
  <c r="H281" i="1"/>
  <c r="H280" i="1"/>
  <c r="H279" i="1"/>
  <c r="H276" i="1"/>
  <c r="H273" i="1"/>
  <c r="H272" i="1"/>
  <c r="H268" i="1"/>
  <c r="H267" i="1"/>
  <c r="H266" i="1"/>
  <c r="H258" i="1"/>
  <c r="H255" i="1"/>
  <c r="H245" i="1"/>
  <c r="H244" i="1"/>
  <c r="H243" i="1"/>
  <c r="H240" i="1"/>
  <c r="H234" i="1"/>
  <c r="H233" i="1"/>
  <c r="H232" i="1"/>
  <c r="H231" i="1"/>
  <c r="H230" i="1"/>
  <c r="H206" i="1"/>
  <c r="H204" i="1"/>
  <c r="H203" i="1"/>
  <c r="H202" i="1"/>
  <c r="H200" i="1"/>
  <c r="H199" i="1"/>
  <c r="H198" i="1"/>
  <c r="H197" i="1"/>
  <c r="H196" i="1"/>
  <c r="H194" i="1"/>
  <c r="H193" i="1"/>
  <c r="H192" i="1"/>
  <c r="H191" i="1"/>
  <c r="H190" i="1"/>
  <c r="H188" i="1"/>
  <c r="H185" i="1"/>
  <c r="H184" i="1"/>
  <c r="H182" i="1"/>
  <c r="H181" i="1"/>
  <c r="H180" i="1"/>
  <c r="H178" i="1"/>
  <c r="H177" i="1"/>
  <c r="H176" i="1"/>
  <c r="H175" i="1"/>
  <c r="H174" i="1"/>
  <c r="H172" i="1"/>
  <c r="H171" i="1"/>
  <c r="H170" i="1"/>
  <c r="H169" i="1"/>
  <c r="H168" i="1"/>
  <c r="H165" i="1"/>
  <c r="H164" i="1"/>
  <c r="H162" i="1"/>
  <c r="H161" i="1"/>
  <c r="H160" i="1"/>
  <c r="H159" i="1"/>
  <c r="H157" i="1"/>
  <c r="H156" i="1"/>
  <c r="H155" i="1"/>
  <c r="H154" i="1"/>
  <c r="H152" i="1"/>
  <c r="H151" i="1"/>
  <c r="H125" i="1"/>
  <c r="H123" i="1"/>
  <c r="H122" i="1"/>
  <c r="H121" i="1"/>
  <c r="H119" i="1"/>
  <c r="H118" i="1"/>
  <c r="H117" i="1"/>
  <c r="H115" i="1"/>
  <c r="H114" i="1"/>
  <c r="H113" i="1"/>
  <c r="H111" i="1"/>
  <c r="H110" i="1"/>
  <c r="H109" i="1"/>
  <c r="H107" i="1"/>
  <c r="H106" i="1"/>
  <c r="H105" i="1"/>
  <c r="H103" i="1"/>
  <c r="H102" i="1"/>
  <c r="H101" i="1"/>
  <c r="H100" i="1"/>
  <c r="H98" i="1"/>
  <c r="H97" i="1"/>
  <c r="H96" i="1"/>
  <c r="H95" i="1"/>
  <c r="H94" i="1"/>
  <c r="H93" i="1"/>
  <c r="H91" i="1"/>
  <c r="H90" i="1"/>
  <c r="H89" i="1"/>
  <c r="H88" i="1"/>
  <c r="H87" i="1"/>
  <c r="H86" i="1"/>
  <c r="H79" i="1"/>
  <c r="H78" i="1"/>
  <c r="H76" i="1"/>
  <c r="H75" i="1"/>
  <c r="H74" i="1"/>
  <c r="H73" i="1"/>
  <c r="H72" i="1"/>
  <c r="H49" i="1"/>
  <c r="H47" i="1"/>
  <c r="H46" i="1"/>
  <c r="H45" i="1"/>
  <c r="H44" i="1"/>
  <c r="Q77" i="1"/>
  <c r="O77" i="1"/>
  <c r="N77" i="1"/>
  <c r="L77" i="1"/>
  <c r="K77" i="1"/>
  <c r="J77" i="1"/>
  <c r="I77" i="1"/>
  <c r="S77" i="1"/>
  <c r="T77" i="1" s="1"/>
  <c r="Q71" i="1"/>
  <c r="O71" i="1"/>
  <c r="N71" i="1"/>
  <c r="L71" i="1"/>
  <c r="K71" i="1"/>
  <c r="J71" i="1"/>
  <c r="I71" i="1"/>
  <c r="T71" i="1"/>
  <c r="Q43" i="1"/>
  <c r="O43" i="1"/>
  <c r="N43" i="1"/>
  <c r="L43" i="1"/>
  <c r="K43" i="1"/>
  <c r="J43" i="1"/>
  <c r="I43" i="1"/>
  <c r="T43" i="1"/>
  <c r="Q38" i="1"/>
  <c r="O38" i="1"/>
  <c r="N38" i="1"/>
  <c r="L38" i="1"/>
  <c r="K38" i="1"/>
  <c r="J38" i="1"/>
  <c r="Q34" i="1"/>
  <c r="O34" i="1"/>
  <c r="N34" i="1"/>
  <c r="L34" i="1"/>
  <c r="K34" i="1"/>
  <c r="J34" i="1"/>
  <c r="Q31" i="1"/>
  <c r="O31" i="1"/>
  <c r="N31" i="1"/>
  <c r="L31" i="1"/>
  <c r="K31" i="1"/>
  <c r="J31" i="1"/>
  <c r="Q28" i="1"/>
  <c r="O28" i="1"/>
  <c r="N28" i="1"/>
  <c r="L28" i="1"/>
  <c r="K28" i="1"/>
  <c r="J28" i="1"/>
  <c r="T28" i="1"/>
  <c r="Q24" i="1"/>
  <c r="O24" i="1"/>
  <c r="N24" i="1"/>
  <c r="L24" i="1"/>
  <c r="K24" i="1"/>
  <c r="J24" i="1"/>
  <c r="Q17" i="1"/>
  <c r="O17" i="1"/>
  <c r="N17" i="1"/>
  <c r="L17" i="1"/>
  <c r="K17" i="1"/>
  <c r="J17" i="1"/>
  <c r="Q259" i="1"/>
  <c r="O259" i="1"/>
  <c r="N259" i="1"/>
  <c r="L259" i="1"/>
  <c r="K259" i="1"/>
  <c r="J259" i="1"/>
  <c r="Q256" i="1"/>
  <c r="O256" i="1"/>
  <c r="N256" i="1"/>
  <c r="L256" i="1"/>
  <c r="K256" i="1"/>
  <c r="J256" i="1"/>
  <c r="Q253" i="1"/>
  <c r="O253" i="1"/>
  <c r="N253" i="1"/>
  <c r="L253" i="1"/>
  <c r="K253" i="1"/>
  <c r="J253" i="1"/>
  <c r="T256" i="1"/>
  <c r="T253" i="1"/>
  <c r="F227" i="1"/>
  <c r="J226" i="1" s="1"/>
  <c r="F225" i="1"/>
  <c r="H225" i="1" s="1"/>
  <c r="F224" i="1"/>
  <c r="H224" i="1" s="1"/>
  <c r="F223" i="1"/>
  <c r="H223" i="1" s="1"/>
  <c r="F222" i="1"/>
  <c r="H222" i="1" s="1"/>
  <c r="F220" i="1"/>
  <c r="H220" i="1" s="1"/>
  <c r="F219" i="1"/>
  <c r="H219" i="1" s="1"/>
  <c r="F218" i="1"/>
  <c r="H218" i="1" s="1"/>
  <c r="F209" i="1"/>
  <c r="H209" i="1" s="1"/>
  <c r="T92" i="1"/>
  <c r="T85" i="1"/>
  <c r="T17" i="1"/>
  <c r="F245" i="1"/>
  <c r="F244" i="1"/>
  <c r="F243" i="1"/>
  <c r="F242" i="1"/>
  <c r="F241" i="1"/>
  <c r="F236" i="1"/>
  <c r="F7" i="1"/>
  <c r="I7" i="1" s="1"/>
  <c r="F276" i="1"/>
  <c r="H275" i="1"/>
  <c r="F275" i="1"/>
  <c r="F295" i="1"/>
  <c r="I294" i="1"/>
  <c r="I293" i="1" s="1"/>
  <c r="F294" i="1"/>
  <c r="F286" i="1"/>
  <c r="H283" i="1"/>
  <c r="F283" i="1"/>
  <c r="K37" i="1" l="1"/>
  <c r="N37" i="1"/>
  <c r="O37" i="1"/>
  <c r="J37" i="1"/>
  <c r="Q37" i="1"/>
  <c r="K473" i="1"/>
  <c r="Q473" i="1"/>
  <c r="S37" i="1"/>
  <c r="I256" i="1"/>
  <c r="H256" i="1" s="1"/>
  <c r="J473" i="1"/>
  <c r="O473" i="1"/>
  <c r="L37" i="1"/>
  <c r="N473" i="1"/>
  <c r="N207" i="1"/>
  <c r="L473" i="1"/>
  <c r="H227" i="1"/>
  <c r="G227" i="1" s="1"/>
  <c r="L207" i="1"/>
  <c r="I207" i="1"/>
  <c r="O207" i="1"/>
  <c r="K207" i="1"/>
  <c r="Q207" i="1"/>
  <c r="J221" i="1"/>
  <c r="H221" i="1" s="1"/>
  <c r="J208" i="1"/>
  <c r="P37" i="1"/>
  <c r="H250" i="1"/>
  <c r="G250" i="1" s="1"/>
  <c r="P473" i="1"/>
  <c r="T474" i="1"/>
  <c r="S473" i="1"/>
  <c r="T473" i="1" s="1"/>
  <c r="L426" i="1"/>
  <c r="O426" i="1"/>
  <c r="P426" i="1"/>
  <c r="N426" i="1"/>
  <c r="Q426" i="1"/>
  <c r="K426" i="1"/>
  <c r="T427" i="1"/>
  <c r="S426" i="1"/>
  <c r="T426" i="1" s="1"/>
  <c r="P350" i="1"/>
  <c r="T368" i="1"/>
  <c r="S350" i="1"/>
  <c r="T350" i="1" s="1"/>
  <c r="N5" i="1"/>
  <c r="L5" i="1"/>
  <c r="T38" i="1"/>
  <c r="P5" i="1"/>
  <c r="S23" i="1"/>
  <c r="N23" i="1"/>
  <c r="K228" i="1"/>
  <c r="O23" i="1"/>
  <c r="K23" i="1"/>
  <c r="Q23" i="1"/>
  <c r="J23" i="1"/>
  <c r="P23" i="1"/>
  <c r="Q5" i="1"/>
  <c r="L23" i="1"/>
  <c r="J5" i="1"/>
  <c r="T6" i="1"/>
  <c r="S5" i="1"/>
  <c r="O5" i="1"/>
  <c r="I6" i="1"/>
  <c r="K5" i="1"/>
  <c r="T24" i="1"/>
  <c r="F256" i="1"/>
  <c r="G56" i="1"/>
  <c r="G65" i="1"/>
  <c r="T259" i="1"/>
  <c r="G255" i="1"/>
  <c r="P207" i="1"/>
  <c r="G50" i="1"/>
  <c r="I228" i="1"/>
  <c r="J228" i="1"/>
  <c r="O228" i="1"/>
  <c r="N228" i="1"/>
  <c r="G246" i="1"/>
  <c r="G257" i="1"/>
  <c r="Q228" i="1"/>
  <c r="T229" i="1"/>
  <c r="S228" i="1"/>
  <c r="T228" i="1" s="1"/>
  <c r="L228" i="1"/>
  <c r="T235" i="1"/>
  <c r="T277" i="1"/>
  <c r="F249" i="1"/>
  <c r="G251" i="1"/>
  <c r="H249" i="1"/>
  <c r="G232" i="1"/>
  <c r="S207" i="1"/>
  <c r="T207" i="1" s="1"/>
  <c r="T282" i="1"/>
  <c r="G258" i="1"/>
  <c r="R264" i="1"/>
  <c r="G233" i="1"/>
  <c r="G231" i="1"/>
  <c r="G260" i="1"/>
  <c r="G240" i="1"/>
  <c r="G234" i="1"/>
  <c r="T306" i="1"/>
  <c r="P510" i="1"/>
  <c r="P493" i="1"/>
  <c r="P317" i="1"/>
  <c r="P393" i="1"/>
  <c r="P446" i="1"/>
  <c r="P370" i="1"/>
  <c r="P264" i="1"/>
  <c r="P166" i="1"/>
  <c r="P149" i="1"/>
  <c r="P84" i="1"/>
  <c r="H7" i="1"/>
  <c r="G7" i="1" s="1"/>
  <c r="I17" i="1"/>
  <c r="G20" i="1"/>
  <c r="G8" i="1"/>
  <c r="G12" i="1"/>
  <c r="G13" i="1"/>
  <c r="G10" i="1"/>
  <c r="F456" i="1"/>
  <c r="S370" i="1"/>
  <c r="T370" i="1" s="1"/>
  <c r="S493" i="1"/>
  <c r="T493" i="1" s="1"/>
  <c r="S510" i="1"/>
  <c r="T510" i="1" s="1"/>
  <c r="Q510" i="1"/>
  <c r="N510" i="1"/>
  <c r="K510" i="1"/>
  <c r="S446" i="1"/>
  <c r="T446" i="1" s="1"/>
  <c r="O510" i="1"/>
  <c r="L510" i="1"/>
  <c r="S393" i="1"/>
  <c r="T393" i="1" s="1"/>
  <c r="G457" i="1"/>
  <c r="G458" i="1"/>
  <c r="G362" i="1"/>
  <c r="S317" i="1"/>
  <c r="T317" i="1" s="1"/>
  <c r="H456" i="1"/>
  <c r="G209" i="1"/>
  <c r="G220" i="1"/>
  <c r="G329" i="1"/>
  <c r="H71" i="1"/>
  <c r="I282" i="1"/>
  <c r="H282" i="1" s="1"/>
  <c r="S149" i="1"/>
  <c r="T149" i="1" s="1"/>
  <c r="S166" i="1"/>
  <c r="T166" i="1" s="1"/>
  <c r="H226" i="1"/>
  <c r="G295" i="1"/>
  <c r="G243" i="1"/>
  <c r="G225" i="1"/>
  <c r="I274" i="1"/>
  <c r="H274" i="1" s="1"/>
  <c r="H328" i="1"/>
  <c r="F328" i="1"/>
  <c r="H360" i="1"/>
  <c r="G361" i="1"/>
  <c r="G334" i="1"/>
  <c r="F360" i="1"/>
  <c r="F282" i="1"/>
  <c r="F274" i="1"/>
  <c r="F293" i="1"/>
  <c r="G330" i="1"/>
  <c r="F221" i="1"/>
  <c r="F226" i="1"/>
  <c r="G219" i="1"/>
  <c r="S264" i="1"/>
  <c r="G218" i="1"/>
  <c r="F208" i="1"/>
  <c r="G222" i="1"/>
  <c r="G223" i="1"/>
  <c r="G286" i="1"/>
  <c r="G276" i="1"/>
  <c r="G244" i="1"/>
  <c r="K252" i="1"/>
  <c r="Q252" i="1"/>
  <c r="F235" i="1"/>
  <c r="S84" i="1"/>
  <c r="T84" i="1" s="1"/>
  <c r="H293" i="1"/>
  <c r="H294" i="1"/>
  <c r="G294" i="1" s="1"/>
  <c r="S252" i="1"/>
  <c r="T252" i="1" s="1"/>
  <c r="G19" i="1"/>
  <c r="G283" i="1"/>
  <c r="G275" i="1"/>
  <c r="H43" i="1"/>
  <c r="H77" i="1"/>
  <c r="G9" i="1"/>
  <c r="G245" i="1"/>
  <c r="G224" i="1"/>
  <c r="J252" i="1"/>
  <c r="O252" i="1"/>
  <c r="L252" i="1"/>
  <c r="N252" i="1"/>
  <c r="F569" i="1"/>
  <c r="G569" i="1" s="1"/>
  <c r="F568" i="1"/>
  <c r="G568" i="1" s="1"/>
  <c r="F567" i="1"/>
  <c r="I567" i="1" s="1"/>
  <c r="F533" i="1"/>
  <c r="J533" i="1" s="1"/>
  <c r="F517" i="1"/>
  <c r="J517" i="1" s="1"/>
  <c r="F515" i="1"/>
  <c r="G515" i="1" s="1"/>
  <c r="F514" i="1"/>
  <c r="F513" i="1"/>
  <c r="F512" i="1"/>
  <c r="F404" i="1"/>
  <c r="G404" i="1" s="1"/>
  <c r="F402" i="1"/>
  <c r="G402" i="1" s="1"/>
  <c r="F401" i="1"/>
  <c r="G401" i="1" s="1"/>
  <c r="F403" i="1"/>
  <c r="G403" i="1" s="1"/>
  <c r="F509" i="1"/>
  <c r="F507" i="1"/>
  <c r="G507" i="1" s="1"/>
  <c r="F506" i="1"/>
  <c r="I506" i="1" s="1"/>
  <c r="F504" i="1"/>
  <c r="F502" i="1"/>
  <c r="G502" i="1" s="1"/>
  <c r="F501" i="1"/>
  <c r="G501" i="1" s="1"/>
  <c r="F500" i="1"/>
  <c r="J500" i="1" s="1"/>
  <c r="F498" i="1"/>
  <c r="G498" i="1" s="1"/>
  <c r="F497" i="1"/>
  <c r="F496" i="1"/>
  <c r="F495" i="1"/>
  <c r="N493" i="1"/>
  <c r="F492" i="1"/>
  <c r="F490" i="1"/>
  <c r="G490" i="1" s="1"/>
  <c r="F488" i="1"/>
  <c r="G488" i="1" s="1"/>
  <c r="F487" i="1"/>
  <c r="F485" i="1"/>
  <c r="G485" i="1" s="1"/>
  <c r="F484" i="1"/>
  <c r="F482" i="1"/>
  <c r="G482" i="1" s="1"/>
  <c r="F481" i="1"/>
  <c r="G481" i="1" s="1"/>
  <c r="F480" i="1"/>
  <c r="F478" i="1"/>
  <c r="G478" i="1" s="1"/>
  <c r="F477" i="1"/>
  <c r="F476" i="1"/>
  <c r="F475" i="1"/>
  <c r="F470" i="1"/>
  <c r="G470" i="1" s="1"/>
  <c r="F469" i="1"/>
  <c r="F467" i="1"/>
  <c r="G467" i="1" s="1"/>
  <c r="F466" i="1"/>
  <c r="G466" i="1" s="1"/>
  <c r="F465" i="1"/>
  <c r="G465" i="1" s="1"/>
  <c r="F464" i="1"/>
  <c r="G464" i="1" s="1"/>
  <c r="F463" i="1"/>
  <c r="F461" i="1"/>
  <c r="G461" i="1" s="1"/>
  <c r="F460" i="1"/>
  <c r="F455" i="1"/>
  <c r="F454" i="1"/>
  <c r="F453" i="1"/>
  <c r="J453" i="1" s="1"/>
  <c r="F451" i="1"/>
  <c r="F450" i="1"/>
  <c r="F449" i="1"/>
  <c r="F448" i="1"/>
  <c r="N446" i="1"/>
  <c r="F445" i="1"/>
  <c r="F443" i="1"/>
  <c r="G443" i="1" s="1"/>
  <c r="F442" i="1"/>
  <c r="G442" i="1" s="1"/>
  <c r="F441" i="1"/>
  <c r="F439" i="1"/>
  <c r="G439" i="1" s="1"/>
  <c r="F438" i="1"/>
  <c r="G438" i="1" s="1"/>
  <c r="F437" i="1"/>
  <c r="F435" i="1"/>
  <c r="G435" i="1" s="1"/>
  <c r="F434" i="1"/>
  <c r="F433" i="1"/>
  <c r="F431" i="1"/>
  <c r="G431" i="1" s="1"/>
  <c r="F425" i="1"/>
  <c r="F423" i="1"/>
  <c r="G423" i="1" s="1"/>
  <c r="F422" i="1"/>
  <c r="G422" i="1" s="1"/>
  <c r="F421" i="1"/>
  <c r="G421" i="1" s="1"/>
  <c r="F420" i="1"/>
  <c r="F418" i="1"/>
  <c r="F416" i="1"/>
  <c r="F414" i="1"/>
  <c r="F413" i="1"/>
  <c r="F412" i="1"/>
  <c r="F406" i="1"/>
  <c r="F405" i="1"/>
  <c r="G405" i="1" s="1"/>
  <c r="F400" i="1"/>
  <c r="F410" i="1"/>
  <c r="F409" i="1"/>
  <c r="G409" i="1" s="1"/>
  <c r="F408" i="1"/>
  <c r="F398" i="1"/>
  <c r="F397" i="1"/>
  <c r="F396" i="1"/>
  <c r="F395" i="1"/>
  <c r="F263" i="1"/>
  <c r="F261" i="1"/>
  <c r="F254" i="1"/>
  <c r="F230" i="1"/>
  <c r="G22" i="1"/>
  <c r="G14" i="1"/>
  <c r="F204" i="1"/>
  <c r="G204" i="1" s="1"/>
  <c r="F203" i="1"/>
  <c r="G203" i="1" s="1"/>
  <c r="F202" i="1"/>
  <c r="H201" i="1"/>
  <c r="F200" i="1"/>
  <c r="G200" i="1" s="1"/>
  <c r="F199" i="1"/>
  <c r="G199" i="1" s="1"/>
  <c r="F198" i="1"/>
  <c r="G198" i="1" s="1"/>
  <c r="F197" i="1"/>
  <c r="G197" i="1" s="1"/>
  <c r="F196" i="1"/>
  <c r="F194" i="1"/>
  <c r="G194" i="1" s="1"/>
  <c r="F193" i="1"/>
  <c r="G193" i="1" s="1"/>
  <c r="F192" i="1"/>
  <c r="G192" i="1" s="1"/>
  <c r="F191" i="1"/>
  <c r="G191" i="1" s="1"/>
  <c r="F190" i="1"/>
  <c r="G188" i="1"/>
  <c r="F187" i="1"/>
  <c r="F182" i="1"/>
  <c r="G182" i="1" s="1"/>
  <c r="F181" i="1"/>
  <c r="G181" i="1" s="1"/>
  <c r="F180" i="1"/>
  <c r="H179" i="1"/>
  <c r="F185" i="1"/>
  <c r="G185" i="1" s="1"/>
  <c r="F184" i="1"/>
  <c r="F390" i="1"/>
  <c r="G390" i="1" s="1"/>
  <c r="F389" i="1"/>
  <c r="G389" i="1" s="1"/>
  <c r="F388" i="1"/>
  <c r="G388" i="1" s="1"/>
  <c r="F387" i="1"/>
  <c r="G384" i="1"/>
  <c r="F383" i="1"/>
  <c r="F382" i="1"/>
  <c r="F380" i="1"/>
  <c r="G380" i="1" s="1"/>
  <c r="F378" i="1"/>
  <c r="F377" i="1"/>
  <c r="F375" i="1"/>
  <c r="F374" i="1"/>
  <c r="F373" i="1"/>
  <c r="F372" i="1"/>
  <c r="L370" i="1"/>
  <c r="Q368" i="1"/>
  <c r="O368" i="1"/>
  <c r="N368" i="1"/>
  <c r="L368" i="1"/>
  <c r="K368" i="1"/>
  <c r="J368" i="1"/>
  <c r="I368" i="1"/>
  <c r="F367" i="1"/>
  <c r="G367" i="1" s="1"/>
  <c r="Q366" i="1"/>
  <c r="O366" i="1"/>
  <c r="N366" i="1"/>
  <c r="L366" i="1"/>
  <c r="K366" i="1"/>
  <c r="J366" i="1"/>
  <c r="I366" i="1"/>
  <c r="F365" i="1"/>
  <c r="G365" i="1" s="1"/>
  <c r="F364" i="1"/>
  <c r="G364" i="1" s="1"/>
  <c r="Q363" i="1"/>
  <c r="O363" i="1"/>
  <c r="N363" i="1"/>
  <c r="L363" i="1"/>
  <c r="K363" i="1"/>
  <c r="J363" i="1"/>
  <c r="I363" i="1"/>
  <c r="F359" i="1"/>
  <c r="G359" i="1" s="1"/>
  <c r="F358" i="1"/>
  <c r="G358" i="1" s="1"/>
  <c r="F357" i="1"/>
  <c r="G357" i="1" s="1"/>
  <c r="Q356" i="1"/>
  <c r="O356" i="1"/>
  <c r="N356" i="1"/>
  <c r="L356" i="1"/>
  <c r="K356" i="1"/>
  <c r="J356" i="1"/>
  <c r="I356" i="1"/>
  <c r="F355" i="1"/>
  <c r="F354" i="1"/>
  <c r="F353" i="1"/>
  <c r="F352" i="1"/>
  <c r="Q351" i="1"/>
  <c r="O351" i="1"/>
  <c r="N351" i="1"/>
  <c r="L351" i="1"/>
  <c r="K351" i="1"/>
  <c r="J351" i="1"/>
  <c r="F345" i="1"/>
  <c r="G345" i="1" s="1"/>
  <c r="F342" i="1"/>
  <c r="G342" i="1" s="1"/>
  <c r="F347" i="1"/>
  <c r="G347" i="1" s="1"/>
  <c r="F344" i="1"/>
  <c r="G344" i="1" s="1"/>
  <c r="F341" i="1"/>
  <c r="G341" i="1" s="1"/>
  <c r="Q340" i="1"/>
  <c r="O340" i="1"/>
  <c r="N340" i="1"/>
  <c r="L340" i="1"/>
  <c r="K340" i="1"/>
  <c r="J340" i="1"/>
  <c r="I340" i="1"/>
  <c r="Q348" i="1"/>
  <c r="O348" i="1"/>
  <c r="N348" i="1"/>
  <c r="L348" i="1"/>
  <c r="K348" i="1"/>
  <c r="J348" i="1"/>
  <c r="I348" i="1"/>
  <c r="F336" i="1"/>
  <c r="G336" i="1" s="1"/>
  <c r="Q335" i="1"/>
  <c r="O335" i="1"/>
  <c r="N335" i="1"/>
  <c r="L335" i="1"/>
  <c r="K335" i="1"/>
  <c r="J335" i="1"/>
  <c r="I335" i="1"/>
  <c r="F327" i="1"/>
  <c r="G327" i="1" s="1"/>
  <c r="F325" i="1"/>
  <c r="G325" i="1" s="1"/>
  <c r="F324" i="1"/>
  <c r="G324" i="1" s="1"/>
  <c r="Q323" i="1"/>
  <c r="O323" i="1"/>
  <c r="N323" i="1"/>
  <c r="L323" i="1"/>
  <c r="K323" i="1"/>
  <c r="J323" i="1"/>
  <c r="I323" i="1"/>
  <c r="F322" i="1"/>
  <c r="F321" i="1"/>
  <c r="F320" i="1"/>
  <c r="F319" i="1"/>
  <c r="Q318" i="1"/>
  <c r="O318" i="1"/>
  <c r="N318" i="1"/>
  <c r="L318" i="1"/>
  <c r="K318" i="1"/>
  <c r="J318" i="1"/>
  <c r="F162" i="1"/>
  <c r="G162" i="1" s="1"/>
  <c r="F161" i="1"/>
  <c r="G161" i="1" s="1"/>
  <c r="F160" i="1"/>
  <c r="G160" i="1" s="1"/>
  <c r="F159" i="1"/>
  <c r="F165" i="1"/>
  <c r="G165" i="1" s="1"/>
  <c r="F164" i="1"/>
  <c r="F157" i="1"/>
  <c r="G157" i="1" s="1"/>
  <c r="F156" i="1"/>
  <c r="G156" i="1" s="1"/>
  <c r="F155" i="1"/>
  <c r="G155" i="1" s="1"/>
  <c r="F154" i="1"/>
  <c r="H153" i="1"/>
  <c r="F152" i="1"/>
  <c r="G152" i="1" s="1"/>
  <c r="F151" i="1"/>
  <c r="I32" i="1"/>
  <c r="F206" i="1"/>
  <c r="Q205" i="1"/>
  <c r="O205" i="1"/>
  <c r="N205" i="1"/>
  <c r="L205" i="1"/>
  <c r="K205" i="1"/>
  <c r="J205" i="1"/>
  <c r="I205" i="1"/>
  <c r="G178" i="1"/>
  <c r="F177" i="1"/>
  <c r="G177" i="1" s="1"/>
  <c r="F176" i="1"/>
  <c r="G176" i="1" s="1"/>
  <c r="F175" i="1"/>
  <c r="G175" i="1" s="1"/>
  <c r="F174" i="1"/>
  <c r="F172" i="1"/>
  <c r="G172" i="1" s="1"/>
  <c r="F171" i="1"/>
  <c r="G171" i="1" s="1"/>
  <c r="F170" i="1"/>
  <c r="G170" i="1" s="1"/>
  <c r="F169" i="1"/>
  <c r="G169" i="1" s="1"/>
  <c r="F168" i="1"/>
  <c r="I25" i="1"/>
  <c r="H25" i="1" s="1"/>
  <c r="F79" i="1"/>
  <c r="G79" i="1" s="1"/>
  <c r="F78" i="1"/>
  <c r="F76" i="1"/>
  <c r="G76" i="1" s="1"/>
  <c r="F75" i="1"/>
  <c r="G75" i="1" s="1"/>
  <c r="F74" i="1"/>
  <c r="G74" i="1" s="1"/>
  <c r="F73" i="1"/>
  <c r="G73" i="1" s="1"/>
  <c r="F72" i="1"/>
  <c r="F127" i="1"/>
  <c r="F126" i="1"/>
  <c r="F125" i="1"/>
  <c r="F148" i="1"/>
  <c r="F146" i="1"/>
  <c r="F145" i="1"/>
  <c r="I145" i="1" s="1"/>
  <c r="F143" i="1"/>
  <c r="F142" i="1"/>
  <c r="F141" i="1"/>
  <c r="F140" i="1"/>
  <c r="F138" i="1"/>
  <c r="F137" i="1"/>
  <c r="F136" i="1"/>
  <c r="F135" i="1"/>
  <c r="F134" i="1"/>
  <c r="F133" i="1"/>
  <c r="F130" i="1"/>
  <c r="F129" i="1"/>
  <c r="I129" i="1" s="1"/>
  <c r="F123" i="1"/>
  <c r="G123" i="1" s="1"/>
  <c r="F122" i="1"/>
  <c r="G122" i="1" s="1"/>
  <c r="F121" i="1"/>
  <c r="F119" i="1"/>
  <c r="G119" i="1" s="1"/>
  <c r="F118" i="1"/>
  <c r="G118" i="1" s="1"/>
  <c r="F117" i="1"/>
  <c r="F115" i="1"/>
  <c r="G115" i="1" s="1"/>
  <c r="F114" i="1"/>
  <c r="G114" i="1" s="1"/>
  <c r="F113" i="1"/>
  <c r="F111" i="1"/>
  <c r="G111" i="1" s="1"/>
  <c r="F110" i="1"/>
  <c r="G110" i="1" s="1"/>
  <c r="F109" i="1"/>
  <c r="F107" i="1"/>
  <c r="G107" i="1" s="1"/>
  <c r="F106" i="1"/>
  <c r="G106" i="1" s="1"/>
  <c r="F105" i="1"/>
  <c r="F103" i="1"/>
  <c r="G103" i="1" s="1"/>
  <c r="F102" i="1"/>
  <c r="G102" i="1" s="1"/>
  <c r="F101" i="1"/>
  <c r="G101" i="1" s="1"/>
  <c r="F100" i="1"/>
  <c r="F98" i="1"/>
  <c r="G98" i="1" s="1"/>
  <c r="F97" i="1"/>
  <c r="G97" i="1" s="1"/>
  <c r="F96" i="1"/>
  <c r="G96" i="1" s="1"/>
  <c r="F95" i="1"/>
  <c r="G95" i="1" s="1"/>
  <c r="F94" i="1"/>
  <c r="G94" i="1" s="1"/>
  <c r="F93" i="1"/>
  <c r="G93" i="1" s="1"/>
  <c r="F91" i="1"/>
  <c r="G91" i="1" s="1"/>
  <c r="F90" i="1"/>
  <c r="G90" i="1" s="1"/>
  <c r="F89" i="1"/>
  <c r="G89" i="1" s="1"/>
  <c r="F88" i="1"/>
  <c r="G88" i="1" s="1"/>
  <c r="F87" i="1"/>
  <c r="G87" i="1" s="1"/>
  <c r="F86" i="1"/>
  <c r="G86" i="1" s="1"/>
  <c r="F49" i="1"/>
  <c r="G49" i="1" s="1"/>
  <c r="F47" i="1"/>
  <c r="G47" i="1" s="1"/>
  <c r="F46" i="1"/>
  <c r="G46" i="1" s="1"/>
  <c r="F45" i="1"/>
  <c r="G45" i="1" s="1"/>
  <c r="F44" i="1"/>
  <c r="G44" i="1" s="1"/>
  <c r="F42" i="1"/>
  <c r="F41" i="1"/>
  <c r="F40" i="1"/>
  <c r="F39" i="1"/>
  <c r="F299" i="1"/>
  <c r="G299" i="1" s="1"/>
  <c r="F298" i="1"/>
  <c r="G298" i="1" s="1"/>
  <c r="F297" i="1"/>
  <c r="F304" i="1"/>
  <c r="G304" i="1" s="1"/>
  <c r="F303" i="1"/>
  <c r="G303" i="1" s="1"/>
  <c r="F302" i="1"/>
  <c r="G302" i="1" s="1"/>
  <c r="F301" i="1"/>
  <c r="F292" i="1"/>
  <c r="G292" i="1" s="1"/>
  <c r="F291" i="1"/>
  <c r="F289" i="1"/>
  <c r="G289" i="1" s="1"/>
  <c r="F288" i="1"/>
  <c r="F281" i="1"/>
  <c r="G281" i="1" s="1"/>
  <c r="F280" i="1"/>
  <c r="G280" i="1" s="1"/>
  <c r="F279" i="1"/>
  <c r="G279" i="1" s="1"/>
  <c r="F278" i="1"/>
  <c r="F273" i="1"/>
  <c r="G273" i="1" s="1"/>
  <c r="F272" i="1"/>
  <c r="G272" i="1" s="1"/>
  <c r="F271" i="1"/>
  <c r="F269" i="1"/>
  <c r="G269" i="1" s="1"/>
  <c r="F268" i="1"/>
  <c r="G268" i="1" s="1"/>
  <c r="F267" i="1"/>
  <c r="G266" i="1"/>
  <c r="F229" i="1" l="1"/>
  <c r="F228" i="1" s="1"/>
  <c r="J207" i="1"/>
  <c r="H207" i="1" s="1"/>
  <c r="H208" i="1"/>
  <c r="G208" i="1" s="1"/>
  <c r="H567" i="1"/>
  <c r="G567" i="1" s="1"/>
  <c r="I566" i="1"/>
  <c r="H566" i="1" s="1"/>
  <c r="F253" i="1"/>
  <c r="H495" i="1"/>
  <c r="G495" i="1" s="1"/>
  <c r="H500" i="1"/>
  <c r="G500" i="1" s="1"/>
  <c r="J499" i="1"/>
  <c r="H499" i="1" s="1"/>
  <c r="I261" i="1"/>
  <c r="H496" i="1"/>
  <c r="G496" i="1" s="1"/>
  <c r="I263" i="1"/>
  <c r="H263" i="1" s="1"/>
  <c r="G263" i="1" s="1"/>
  <c r="H497" i="1"/>
  <c r="G497" i="1" s="1"/>
  <c r="I505" i="1"/>
  <c r="H505" i="1" s="1"/>
  <c r="H506" i="1"/>
  <c r="G506" i="1" s="1"/>
  <c r="H475" i="1"/>
  <c r="G475" i="1" s="1"/>
  <c r="H476" i="1"/>
  <c r="G476" i="1" s="1"/>
  <c r="H477" i="1"/>
  <c r="G477" i="1" s="1"/>
  <c r="H449" i="1"/>
  <c r="G449" i="1" s="1"/>
  <c r="J454" i="1"/>
  <c r="H454" i="1" s="1"/>
  <c r="G454" i="1" s="1"/>
  <c r="H448" i="1"/>
  <c r="G448" i="1" s="1"/>
  <c r="H450" i="1"/>
  <c r="G450" i="1" s="1"/>
  <c r="J455" i="1"/>
  <c r="H455" i="1" s="1"/>
  <c r="G455" i="1" s="1"/>
  <c r="H453" i="1"/>
  <c r="G453" i="1" s="1"/>
  <c r="I451" i="1"/>
  <c r="H451" i="1" s="1"/>
  <c r="G451" i="1" s="1"/>
  <c r="K350" i="1"/>
  <c r="Q350" i="1"/>
  <c r="H434" i="1"/>
  <c r="G434" i="1" s="1"/>
  <c r="L350" i="1"/>
  <c r="N350" i="1"/>
  <c r="J350" i="1"/>
  <c r="O350" i="1"/>
  <c r="H433" i="1"/>
  <c r="G433" i="1" s="1"/>
  <c r="H414" i="1"/>
  <c r="G414" i="1" s="1"/>
  <c r="H416" i="1"/>
  <c r="G416" i="1" s="1"/>
  <c r="H413" i="1"/>
  <c r="G413" i="1" s="1"/>
  <c r="H412" i="1"/>
  <c r="G412" i="1" s="1"/>
  <c r="H418" i="1"/>
  <c r="G418" i="1" s="1"/>
  <c r="H395" i="1"/>
  <c r="G395" i="1" s="1"/>
  <c r="H396" i="1"/>
  <c r="G396" i="1" s="1"/>
  <c r="H397" i="1"/>
  <c r="G397" i="1" s="1"/>
  <c r="H387" i="1"/>
  <c r="G387" i="1" s="1"/>
  <c r="H386" i="1"/>
  <c r="G386" i="1" s="1"/>
  <c r="H382" i="1"/>
  <c r="G382" i="1" s="1"/>
  <c r="H383" i="1"/>
  <c r="G383" i="1" s="1"/>
  <c r="H373" i="1"/>
  <c r="G373" i="1" s="1"/>
  <c r="I375" i="1"/>
  <c r="H375" i="1" s="1"/>
  <c r="G375" i="1" s="1"/>
  <c r="H372" i="1"/>
  <c r="G372" i="1" s="1"/>
  <c r="H374" i="1"/>
  <c r="G374" i="1" s="1"/>
  <c r="I355" i="1"/>
  <c r="H355" i="1" s="1"/>
  <c r="G355" i="1" s="1"/>
  <c r="H352" i="1"/>
  <c r="G352" i="1" s="1"/>
  <c r="H322" i="1"/>
  <c r="G322" i="1" s="1"/>
  <c r="H321" i="1"/>
  <c r="G321" i="1" s="1"/>
  <c r="H320" i="1"/>
  <c r="G320" i="1" s="1"/>
  <c r="H354" i="1"/>
  <c r="G354" i="1" s="1"/>
  <c r="H17" i="1"/>
  <c r="I5" i="1"/>
  <c r="G256" i="1"/>
  <c r="H514" i="1"/>
  <c r="G514" i="1" s="1"/>
  <c r="H533" i="1"/>
  <c r="G533" i="1" s="1"/>
  <c r="H513" i="1"/>
  <c r="G513" i="1" s="1"/>
  <c r="H512" i="1"/>
  <c r="G512" i="1" s="1"/>
  <c r="H517" i="1"/>
  <c r="G517" i="1" s="1"/>
  <c r="J516" i="1"/>
  <c r="H516" i="1" s="1"/>
  <c r="G249" i="1"/>
  <c r="T264" i="1"/>
  <c r="F207" i="1"/>
  <c r="T5" i="1"/>
  <c r="H129" i="1"/>
  <c r="G129" i="1" s="1"/>
  <c r="I135" i="1"/>
  <c r="H135" i="1" s="1"/>
  <c r="G135" i="1" s="1"/>
  <c r="I140" i="1"/>
  <c r="H140" i="1" s="1"/>
  <c r="G140" i="1" s="1"/>
  <c r="H145" i="1"/>
  <c r="G145" i="1" s="1"/>
  <c r="Q126" i="1"/>
  <c r="H40" i="1"/>
  <c r="G40" i="1" s="1"/>
  <c r="I130" i="1"/>
  <c r="H130" i="1" s="1"/>
  <c r="G130" i="1" s="1"/>
  <c r="I136" i="1"/>
  <c r="H136" i="1" s="1"/>
  <c r="G136" i="1" s="1"/>
  <c r="I141" i="1"/>
  <c r="H141" i="1" s="1"/>
  <c r="G141" i="1" s="1"/>
  <c r="I146" i="1"/>
  <c r="H146" i="1" s="1"/>
  <c r="G146" i="1" s="1"/>
  <c r="Q127" i="1"/>
  <c r="H127" i="1" s="1"/>
  <c r="G127" i="1" s="1"/>
  <c r="H39" i="1"/>
  <c r="G39" i="1" s="1"/>
  <c r="I41" i="1"/>
  <c r="H41" i="1" s="1"/>
  <c r="G41" i="1" s="1"/>
  <c r="I133" i="1"/>
  <c r="H133" i="1" s="1"/>
  <c r="G133" i="1" s="1"/>
  <c r="I137" i="1"/>
  <c r="H137" i="1" s="1"/>
  <c r="G137" i="1" s="1"/>
  <c r="I142" i="1"/>
  <c r="H142" i="1" s="1"/>
  <c r="G142" i="1" s="1"/>
  <c r="I148" i="1"/>
  <c r="H148" i="1" s="1"/>
  <c r="G148" i="1" s="1"/>
  <c r="I42" i="1"/>
  <c r="H42" i="1" s="1"/>
  <c r="G42" i="1" s="1"/>
  <c r="I134" i="1"/>
  <c r="H134" i="1" s="1"/>
  <c r="G134" i="1" s="1"/>
  <c r="I138" i="1"/>
  <c r="H138" i="1" s="1"/>
  <c r="G138" i="1" s="1"/>
  <c r="I143" i="1"/>
  <c r="H143" i="1" s="1"/>
  <c r="G143" i="1" s="1"/>
  <c r="I33" i="1"/>
  <c r="H33" i="1" s="1"/>
  <c r="G33" i="1" s="1"/>
  <c r="T23" i="1"/>
  <c r="I36" i="1"/>
  <c r="H36" i="1" s="1"/>
  <c r="G36" i="1" s="1"/>
  <c r="H32" i="1"/>
  <c r="G32" i="1" s="1"/>
  <c r="I35" i="1"/>
  <c r="I26" i="1"/>
  <c r="H26" i="1" s="1"/>
  <c r="G26" i="1" s="1"/>
  <c r="I27" i="1"/>
  <c r="H27" i="1" s="1"/>
  <c r="G27" i="1" s="1"/>
  <c r="I30" i="1"/>
  <c r="G425" i="1"/>
  <c r="F424" i="1"/>
  <c r="F474" i="1"/>
  <c r="F494" i="1"/>
  <c r="F532" i="1"/>
  <c r="G571" i="1"/>
  <c r="F570" i="1"/>
  <c r="F371" i="1"/>
  <c r="G377" i="1"/>
  <c r="F376" i="1"/>
  <c r="G460" i="1"/>
  <c r="F459" i="1"/>
  <c r="F511" i="1"/>
  <c r="F516" i="1"/>
  <c r="F385" i="1"/>
  <c r="G400" i="1"/>
  <c r="F399" i="1"/>
  <c r="G420" i="1"/>
  <c r="F419" i="1"/>
  <c r="G484" i="1"/>
  <c r="F483" i="1"/>
  <c r="G487" i="1"/>
  <c r="F486" i="1"/>
  <c r="G504" i="1"/>
  <c r="F503" i="1"/>
  <c r="G509" i="1"/>
  <c r="F508" i="1"/>
  <c r="F566" i="1"/>
  <c r="F381" i="1"/>
  <c r="F391" i="1"/>
  <c r="F394" i="1"/>
  <c r="G408" i="1"/>
  <c r="F407" i="1"/>
  <c r="G441" i="1"/>
  <c r="F440" i="1"/>
  <c r="G463" i="1"/>
  <c r="F462" i="1"/>
  <c r="G480" i="1"/>
  <c r="F479" i="1"/>
  <c r="G492" i="1"/>
  <c r="F491" i="1"/>
  <c r="F499" i="1"/>
  <c r="G437" i="1"/>
  <c r="F436" i="1"/>
  <c r="G469" i="1"/>
  <c r="F468" i="1"/>
  <c r="F411" i="1"/>
  <c r="F427" i="1"/>
  <c r="F432" i="1"/>
  <c r="F444" i="1"/>
  <c r="F447" i="1"/>
  <c r="F452" i="1"/>
  <c r="F505" i="1"/>
  <c r="O493" i="1"/>
  <c r="K446" i="1"/>
  <c r="Q446" i="1"/>
  <c r="K493" i="1"/>
  <c r="Q493" i="1"/>
  <c r="O446" i="1"/>
  <c r="L446" i="1"/>
  <c r="L493" i="1"/>
  <c r="G456" i="1"/>
  <c r="G221" i="1"/>
  <c r="N317" i="1"/>
  <c r="N370" i="1"/>
  <c r="J317" i="1"/>
  <c r="J370" i="1"/>
  <c r="O317" i="1"/>
  <c r="O370" i="1"/>
  <c r="K370" i="1"/>
  <c r="Q370" i="1"/>
  <c r="G360" i="1"/>
  <c r="G328" i="1"/>
  <c r="G226" i="1"/>
  <c r="F287" i="1"/>
  <c r="F296" i="1"/>
  <c r="K317" i="1"/>
  <c r="Q317" i="1"/>
  <c r="H6" i="1"/>
  <c r="L317" i="1"/>
  <c r="F277" i="1"/>
  <c r="F300" i="1"/>
  <c r="F270" i="1"/>
  <c r="G267" i="1"/>
  <c r="F265" i="1"/>
  <c r="F290" i="1"/>
  <c r="G206" i="1"/>
  <c r="F205" i="1"/>
  <c r="G117" i="1"/>
  <c r="F116" i="1"/>
  <c r="F189" i="1"/>
  <c r="G113" i="1"/>
  <c r="F112" i="1"/>
  <c r="G125" i="1"/>
  <c r="F124" i="1"/>
  <c r="G168" i="1"/>
  <c r="F167" i="1"/>
  <c r="G154" i="1"/>
  <c r="F153" i="1"/>
  <c r="G153" i="1" s="1"/>
  <c r="H323" i="1"/>
  <c r="H363" i="1"/>
  <c r="H368" i="1"/>
  <c r="F186" i="1"/>
  <c r="G196" i="1"/>
  <c r="F195" i="1"/>
  <c r="G100" i="1"/>
  <c r="F99" i="1"/>
  <c r="G121" i="1"/>
  <c r="F120" i="1"/>
  <c r="G159" i="1"/>
  <c r="F158" i="1"/>
  <c r="G109" i="1"/>
  <c r="F108" i="1"/>
  <c r="F128" i="1"/>
  <c r="F144" i="1"/>
  <c r="G174" i="1"/>
  <c r="F173" i="1"/>
  <c r="G164" i="1"/>
  <c r="F163" i="1"/>
  <c r="G184" i="1"/>
  <c r="F183" i="1"/>
  <c r="G180" i="1"/>
  <c r="F179" i="1"/>
  <c r="G179" i="1" s="1"/>
  <c r="G230" i="1"/>
  <c r="J393" i="1"/>
  <c r="O393" i="1"/>
  <c r="H462" i="1"/>
  <c r="H479" i="1"/>
  <c r="H491" i="1"/>
  <c r="H570" i="1"/>
  <c r="G190" i="1"/>
  <c r="G105" i="1"/>
  <c r="F104" i="1"/>
  <c r="G151" i="1"/>
  <c r="F150" i="1"/>
  <c r="G202" i="1"/>
  <c r="F201" i="1"/>
  <c r="G201" i="1" s="1"/>
  <c r="G274" i="1"/>
  <c r="F71" i="1"/>
  <c r="G72" i="1"/>
  <c r="G71" i="1" s="1"/>
  <c r="F77" i="1"/>
  <c r="G77" i="1" s="1"/>
  <c r="G78" i="1"/>
  <c r="H167" i="1"/>
  <c r="F31" i="1"/>
  <c r="H163" i="1"/>
  <c r="H340" i="1"/>
  <c r="H356" i="1"/>
  <c r="H183" i="1"/>
  <c r="K393" i="1"/>
  <c r="Q393" i="1"/>
  <c r="H419" i="1"/>
  <c r="H459" i="1"/>
  <c r="H468" i="1"/>
  <c r="H503" i="1"/>
  <c r="G293" i="1"/>
  <c r="F38" i="1"/>
  <c r="H189" i="1"/>
  <c r="H424" i="1"/>
  <c r="H440" i="1"/>
  <c r="H471" i="1"/>
  <c r="H508" i="1"/>
  <c r="G282" i="1"/>
  <c r="F43" i="1"/>
  <c r="G43" i="1" s="1"/>
  <c r="F24" i="1"/>
  <c r="G25" i="1"/>
  <c r="F28" i="1"/>
  <c r="H173" i="1"/>
  <c r="F34" i="1"/>
  <c r="H205" i="1"/>
  <c r="I149" i="1"/>
  <c r="E35" i="1" s="1"/>
  <c r="E23" i="1" s="1"/>
  <c r="H150" i="1"/>
  <c r="L149" i="1"/>
  <c r="H158" i="1"/>
  <c r="H335" i="1"/>
  <c r="H348" i="1"/>
  <c r="H366" i="1"/>
  <c r="H391" i="1"/>
  <c r="H195" i="1"/>
  <c r="H229" i="1"/>
  <c r="H436" i="1"/>
  <c r="H483" i="1"/>
  <c r="H486" i="1"/>
  <c r="F6" i="1"/>
  <c r="F17" i="1"/>
  <c r="I166" i="1"/>
  <c r="L166" i="1"/>
  <c r="K149" i="1"/>
  <c r="Q149" i="1"/>
  <c r="N393" i="1"/>
  <c r="K166" i="1"/>
  <c r="Q166" i="1"/>
  <c r="F259" i="1"/>
  <c r="L393" i="1"/>
  <c r="N166" i="1"/>
  <c r="O166" i="1"/>
  <c r="N149" i="1"/>
  <c r="J149" i="1"/>
  <c r="O149" i="1"/>
  <c r="F351" i="1"/>
  <c r="F363" i="1"/>
  <c r="F356" i="1"/>
  <c r="F366" i="1"/>
  <c r="F340" i="1"/>
  <c r="F335" i="1"/>
  <c r="F318" i="1"/>
  <c r="F323" i="1"/>
  <c r="F139" i="1"/>
  <c r="F92" i="1"/>
  <c r="F85" i="1"/>
  <c r="I270" i="1"/>
  <c r="I296" i="1"/>
  <c r="J139" i="1"/>
  <c r="K139" i="1"/>
  <c r="L139" i="1"/>
  <c r="N139" i="1"/>
  <c r="O139" i="1"/>
  <c r="Q139" i="1"/>
  <c r="J92" i="1"/>
  <c r="K92" i="1"/>
  <c r="L92" i="1"/>
  <c r="N92" i="1"/>
  <c r="O92" i="1"/>
  <c r="Q92" i="1"/>
  <c r="I92" i="1"/>
  <c r="J85" i="1"/>
  <c r="K85" i="1"/>
  <c r="L85" i="1"/>
  <c r="N85" i="1"/>
  <c r="O85" i="1"/>
  <c r="Q85" i="1"/>
  <c r="I85" i="1"/>
  <c r="F472" i="1" l="1"/>
  <c r="F369" i="1"/>
  <c r="F349" i="1"/>
  <c r="J493" i="1"/>
  <c r="F37" i="1"/>
  <c r="I259" i="1"/>
  <c r="H259" i="1" s="1"/>
  <c r="G259" i="1" s="1"/>
  <c r="H261" i="1"/>
  <c r="G261" i="1" s="1"/>
  <c r="I494" i="1"/>
  <c r="F473" i="1"/>
  <c r="I474" i="1"/>
  <c r="J452" i="1"/>
  <c r="I447" i="1"/>
  <c r="F426" i="1"/>
  <c r="J432" i="1"/>
  <c r="M411" i="1"/>
  <c r="H411" i="1" s="1"/>
  <c r="G411" i="1" s="1"/>
  <c r="M407" i="1"/>
  <c r="H407" i="1" s="1"/>
  <c r="G407" i="1" s="1"/>
  <c r="G410" i="1"/>
  <c r="M399" i="1"/>
  <c r="H399" i="1" s="1"/>
  <c r="G399" i="1" s="1"/>
  <c r="H406" i="1"/>
  <c r="G406" i="1" s="1"/>
  <c r="I394" i="1"/>
  <c r="M394" i="1"/>
  <c r="H398" i="1"/>
  <c r="G398" i="1" s="1"/>
  <c r="I385" i="1"/>
  <c r="H385" i="1" s="1"/>
  <c r="G385" i="1" s="1"/>
  <c r="I381" i="1"/>
  <c r="H381" i="1" s="1"/>
  <c r="G381" i="1" s="1"/>
  <c r="H378" i="1"/>
  <c r="G378" i="1" s="1"/>
  <c r="I376" i="1"/>
  <c r="H376" i="1" s="1"/>
  <c r="G376" i="1" s="1"/>
  <c r="I371" i="1"/>
  <c r="H319" i="1"/>
  <c r="G319" i="1" s="1"/>
  <c r="I318" i="1"/>
  <c r="H353" i="1"/>
  <c r="G353" i="1" s="1"/>
  <c r="I351" i="1"/>
  <c r="I350" i="1" s="1"/>
  <c r="G17" i="1"/>
  <c r="F23" i="1"/>
  <c r="F5" i="1"/>
  <c r="I511" i="1"/>
  <c r="I510" i="1" s="1"/>
  <c r="J532" i="1"/>
  <c r="H532" i="1" s="1"/>
  <c r="G532" i="1" s="1"/>
  <c r="I139" i="1"/>
  <c r="Q124" i="1"/>
  <c r="H124" i="1" s="1"/>
  <c r="G124" i="1" s="1"/>
  <c r="H126" i="1"/>
  <c r="G126" i="1" s="1"/>
  <c r="I38" i="1"/>
  <c r="I37" i="1" s="1"/>
  <c r="I144" i="1"/>
  <c r="H144" i="1" s="1"/>
  <c r="G144" i="1" s="1"/>
  <c r="I31" i="1"/>
  <c r="H31" i="1" s="1"/>
  <c r="G31" i="1" s="1"/>
  <c r="I128" i="1"/>
  <c r="H128" i="1" s="1"/>
  <c r="G128" i="1" s="1"/>
  <c r="I24" i="1"/>
  <c r="L84" i="1"/>
  <c r="H35" i="1"/>
  <c r="G35" i="1" s="1"/>
  <c r="I34" i="1"/>
  <c r="H34" i="1" s="1"/>
  <c r="G34" i="1" s="1"/>
  <c r="I28" i="1"/>
  <c r="H28" i="1" s="1"/>
  <c r="H30" i="1"/>
  <c r="G30" i="1" s="1"/>
  <c r="F510" i="1"/>
  <c r="G505" i="1"/>
  <c r="G516" i="1"/>
  <c r="F493" i="1"/>
  <c r="G491" i="1"/>
  <c r="G479" i="1"/>
  <c r="G363" i="1"/>
  <c r="F370" i="1"/>
  <c r="G189" i="1"/>
  <c r="H301" i="1"/>
  <c r="G301" i="1" s="1"/>
  <c r="I300" i="1"/>
  <c r="H300" i="1" s="1"/>
  <c r="G300" i="1" s="1"/>
  <c r="H288" i="1"/>
  <c r="G288" i="1" s="1"/>
  <c r="I287" i="1"/>
  <c r="H287" i="1" s="1"/>
  <c r="G287" i="1" s="1"/>
  <c r="H291" i="1"/>
  <c r="G291" i="1" s="1"/>
  <c r="I290" i="1"/>
  <c r="H290" i="1" s="1"/>
  <c r="G290" i="1" s="1"/>
  <c r="H278" i="1"/>
  <c r="G278" i="1" s="1"/>
  <c r="I277" i="1"/>
  <c r="G462" i="1"/>
  <c r="G323" i="1"/>
  <c r="G503" i="1"/>
  <c r="G459" i="1"/>
  <c r="G570" i="1"/>
  <c r="H296" i="1"/>
  <c r="G296" i="1" s="1"/>
  <c r="H297" i="1"/>
  <c r="G297" i="1" s="1"/>
  <c r="F252" i="1"/>
  <c r="G483" i="1"/>
  <c r="G436" i="1"/>
  <c r="G335" i="1"/>
  <c r="G158" i="1"/>
  <c r="H270" i="1"/>
  <c r="G270" i="1" s="1"/>
  <c r="H271" i="1"/>
  <c r="G271" i="1" s="1"/>
  <c r="G207" i="1"/>
  <c r="G229" i="1"/>
  <c r="G391" i="1"/>
  <c r="G173" i="1"/>
  <c r="G508" i="1"/>
  <c r="G424" i="1"/>
  <c r="G356" i="1"/>
  <c r="G340" i="1"/>
  <c r="G167" i="1"/>
  <c r="H85" i="1"/>
  <c r="G85" i="1" s="1"/>
  <c r="H92" i="1"/>
  <c r="G92" i="1" s="1"/>
  <c r="H99" i="1"/>
  <c r="G99" i="1" s="1"/>
  <c r="H104" i="1"/>
  <c r="G104" i="1" s="1"/>
  <c r="H108" i="1"/>
  <c r="G108" i="1" s="1"/>
  <c r="H112" i="1"/>
  <c r="G112" i="1" s="1"/>
  <c r="H116" i="1"/>
  <c r="G116" i="1" s="1"/>
  <c r="H120" i="1"/>
  <c r="G120" i="1" s="1"/>
  <c r="H265" i="1"/>
  <c r="G265" i="1" s="1"/>
  <c r="G366" i="1"/>
  <c r="G150" i="1"/>
  <c r="G566" i="1"/>
  <c r="G499" i="1"/>
  <c r="G440" i="1"/>
  <c r="G163" i="1"/>
  <c r="Q264" i="1"/>
  <c r="G486" i="1"/>
  <c r="G195" i="1"/>
  <c r="H149" i="1"/>
  <c r="G205" i="1"/>
  <c r="G468" i="1"/>
  <c r="G419" i="1"/>
  <c r="G183" i="1"/>
  <c r="O264" i="1"/>
  <c r="L264" i="1"/>
  <c r="K264" i="1"/>
  <c r="N84" i="1"/>
  <c r="F264" i="1"/>
  <c r="F393" i="1"/>
  <c r="K84" i="1"/>
  <c r="N264" i="1"/>
  <c r="J264" i="1"/>
  <c r="O84" i="1"/>
  <c r="J84" i="1"/>
  <c r="F84" i="1"/>
  <c r="F149" i="1"/>
  <c r="F166" i="1"/>
  <c r="G369" i="1" l="1"/>
  <c r="F368" i="1"/>
  <c r="G472" i="1"/>
  <c r="F471" i="1"/>
  <c r="G349" i="1"/>
  <c r="F348" i="1"/>
  <c r="I493" i="1"/>
  <c r="H493" i="1" s="1"/>
  <c r="G493" i="1" s="1"/>
  <c r="H494" i="1"/>
  <c r="G494" i="1" s="1"/>
  <c r="I473" i="1"/>
  <c r="H473" i="1" s="1"/>
  <c r="G473" i="1" s="1"/>
  <c r="H474" i="1"/>
  <c r="G474" i="1" s="1"/>
  <c r="J446" i="1"/>
  <c r="H452" i="1"/>
  <c r="G452" i="1" s="1"/>
  <c r="I446" i="1"/>
  <c r="H447" i="1"/>
  <c r="G447" i="1" s="1"/>
  <c r="H445" i="1"/>
  <c r="G445" i="1" s="1"/>
  <c r="J444" i="1"/>
  <c r="H432" i="1"/>
  <c r="G432" i="1" s="1"/>
  <c r="M393" i="1"/>
  <c r="M4" i="1" s="1"/>
  <c r="H394" i="1"/>
  <c r="G394" i="1" s="1"/>
  <c r="I393" i="1"/>
  <c r="I370" i="1"/>
  <c r="H370" i="1" s="1"/>
  <c r="G370" i="1" s="1"/>
  <c r="H371" i="1"/>
  <c r="G371" i="1" s="1"/>
  <c r="I317" i="1"/>
  <c r="H317" i="1" s="1"/>
  <c r="H318" i="1"/>
  <c r="G318" i="1" s="1"/>
  <c r="H351" i="1"/>
  <c r="G351" i="1" s="1"/>
  <c r="H350" i="1"/>
  <c r="H24" i="1"/>
  <c r="G24" i="1" s="1"/>
  <c r="I23" i="1"/>
  <c r="H511" i="1"/>
  <c r="G511" i="1" s="1"/>
  <c r="J510" i="1"/>
  <c r="H510" i="1" s="1"/>
  <c r="G510" i="1" s="1"/>
  <c r="I84" i="1"/>
  <c r="H139" i="1"/>
  <c r="G139" i="1" s="1"/>
  <c r="H38" i="1"/>
  <c r="G38" i="1" s="1"/>
  <c r="Q84" i="1"/>
  <c r="Q4" i="1" s="1"/>
  <c r="O4" i="1"/>
  <c r="K4" i="1"/>
  <c r="L4" i="1"/>
  <c r="G28" i="1"/>
  <c r="N4" i="1"/>
  <c r="G149" i="1"/>
  <c r="I264" i="1"/>
  <c r="H264" i="1" s="1"/>
  <c r="G264" i="1" s="1"/>
  <c r="H277" i="1"/>
  <c r="G277" i="1" s="1"/>
  <c r="H5" i="1"/>
  <c r="H238" i="1" l="1"/>
  <c r="G238" i="1" s="1"/>
  <c r="H239" i="1"/>
  <c r="G239" i="1" s="1"/>
  <c r="H237" i="1"/>
  <c r="G237" i="1" s="1"/>
  <c r="H241" i="1"/>
  <c r="G241" i="1" s="1"/>
  <c r="H242" i="1"/>
  <c r="G242" i="1" s="1"/>
  <c r="G368" i="1"/>
  <c r="F350" i="1"/>
  <c r="G350" i="1" s="1"/>
  <c r="G348" i="1"/>
  <c r="F317" i="1"/>
  <c r="P254" i="1"/>
  <c r="G471" i="1"/>
  <c r="F446" i="1"/>
  <c r="H446" i="1"/>
  <c r="J426" i="1"/>
  <c r="H444" i="1"/>
  <c r="G444" i="1" s="1"/>
  <c r="H393" i="1"/>
  <c r="G393" i="1" s="1"/>
  <c r="H84" i="1"/>
  <c r="G84" i="1" s="1"/>
  <c r="H37" i="1"/>
  <c r="G37" i="1" s="1"/>
  <c r="H23" i="1"/>
  <c r="G23" i="1" s="1"/>
  <c r="G5" i="1"/>
  <c r="G6" i="1"/>
  <c r="H430" i="1"/>
  <c r="G430" i="1" s="1"/>
  <c r="H429" i="1"/>
  <c r="G429" i="1" s="1"/>
  <c r="H428" i="1"/>
  <c r="G428" i="1" s="1"/>
  <c r="I427" i="1"/>
  <c r="I426" i="1" s="1"/>
  <c r="G446" i="1" l="1"/>
  <c r="P235" i="1"/>
  <c r="H236" i="1"/>
  <c r="G236" i="1" s="1"/>
  <c r="F4" i="1"/>
  <c r="I254" i="1"/>
  <c r="P253" i="1"/>
  <c r="P252" i="1" s="1"/>
  <c r="G317" i="1"/>
  <c r="H427" i="1"/>
  <c r="G427" i="1" s="1"/>
  <c r="H426" i="1"/>
  <c r="G426" i="1" s="1"/>
  <c r="S4" i="1"/>
  <c r="T37" i="1"/>
  <c r="R4" i="1"/>
  <c r="H187" i="1"/>
  <c r="G187" i="1" s="1"/>
  <c r="J186" i="1"/>
  <c r="H254" i="1" l="1"/>
  <c r="G254" i="1" s="1"/>
  <c r="I253" i="1"/>
  <c r="P228" i="1"/>
  <c r="H235" i="1"/>
  <c r="G235" i="1" s="1"/>
  <c r="H186" i="1"/>
  <c r="G186" i="1" s="1"/>
  <c r="J166" i="1"/>
  <c r="T4" i="1"/>
  <c r="H166" i="1" l="1"/>
  <c r="G166" i="1" s="1"/>
  <c r="J4" i="1"/>
  <c r="P4" i="1"/>
  <c r="H228" i="1"/>
  <c r="G228" i="1" s="1"/>
  <c r="H253" i="1"/>
  <c r="G253" i="1" s="1"/>
  <c r="I252" i="1"/>
  <c r="H252" i="1" l="1"/>
  <c r="G252" i="1" s="1"/>
  <c r="I4" i="1"/>
  <c r="H4" i="1" s="1"/>
  <c r="G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Ursa</author>
    <author>Dragica Žunko</author>
  </authors>
  <commentList>
    <comment ref="W4" authorId="0" shapeId="0" xr:uid="{00000000-0006-0000-0100-000001000000}">
      <text>
        <r>
          <rPr>
            <b/>
            <sz val="8"/>
            <color indexed="81"/>
            <rFont val="Tahoma"/>
            <family val="2"/>
            <charset val="238"/>
          </rPr>
          <t>Ursa:</t>
        </r>
        <r>
          <rPr>
            <sz val="8"/>
            <color indexed="81"/>
            <rFont val="Tahoma"/>
            <family val="2"/>
            <charset val="238"/>
          </rPr>
          <t xml:space="preserve">
d1 in d2 - polovica odobrenih sredstev za kšp in ka, prenos iz 2014 kpp in mk</t>
        </r>
      </text>
    </comment>
    <comment ref="X4" authorId="0" shapeId="0" xr:uid="{00000000-0006-0000-0100-000002000000}">
      <text>
        <r>
          <rPr>
            <b/>
            <sz val="8"/>
            <color indexed="81"/>
            <rFont val="Tahoma"/>
            <family val="2"/>
            <charset val="238"/>
          </rPr>
          <t>Ursa:</t>
        </r>
        <r>
          <rPr>
            <sz val="8"/>
            <color indexed="81"/>
            <rFont val="Tahoma"/>
            <family val="2"/>
            <charset val="238"/>
          </rPr>
          <t xml:space="preserve">
koordinacija kšp</t>
        </r>
      </text>
    </comment>
    <comment ref="R69" authorId="1" shapeId="0" xr:uid="{00000000-0006-0000-0100-000003000000}">
      <text>
        <r>
          <rPr>
            <b/>
            <sz val="9"/>
            <color indexed="81"/>
            <rFont val="Segoe UI"/>
            <family val="2"/>
            <charset val="238"/>
          </rPr>
          <t>Dragica Žunko:</t>
        </r>
        <r>
          <rPr>
            <sz val="9"/>
            <color indexed="81"/>
            <rFont val="Segoe UI"/>
            <family val="2"/>
            <charset val="238"/>
          </rPr>
          <t xml:space="preserve">
am. Inv št. 1997
plezalni stolp na prikolici
</t>
        </r>
      </text>
    </comment>
    <comment ref="R75" authorId="1" shapeId="0" xr:uid="{00000000-0006-0000-0100-000004000000}">
      <text>
        <r>
          <rPr>
            <b/>
            <sz val="9"/>
            <color indexed="81"/>
            <rFont val="Segoe UI"/>
            <family val="2"/>
            <charset val="238"/>
          </rPr>
          <t>Dragica Žunko:</t>
        </r>
        <r>
          <rPr>
            <sz val="9"/>
            <color indexed="81"/>
            <rFont val="Segoe UI"/>
            <family val="2"/>
            <charset val="238"/>
          </rPr>
          <t xml:space="preserve">
amortizacija inv št. 1967 (gospod.vozilo)
</t>
        </r>
      </text>
    </comment>
    <comment ref="R207" authorId="1" shapeId="0" xr:uid="{00000000-0006-0000-0100-000005000000}">
      <text>
        <r>
          <rPr>
            <b/>
            <sz val="9"/>
            <color indexed="81"/>
            <rFont val="Segoe UI"/>
            <family val="2"/>
            <charset val="238"/>
          </rPr>
          <t>Dragica Žunko:</t>
        </r>
        <r>
          <rPr>
            <sz val="9"/>
            <color indexed="81"/>
            <rFont val="Segoe UI"/>
            <family val="2"/>
            <charset val="238"/>
          </rPr>
          <t xml:space="preserve">
ocena porabe zalog 1-4 vključena
</t>
        </r>
      </text>
    </comment>
    <comment ref="R227" authorId="1" shapeId="0" xr:uid="{00000000-0006-0000-0100-000006000000}">
      <text>
        <r>
          <rPr>
            <b/>
            <sz val="9"/>
            <color indexed="81"/>
            <rFont val="Segoe UI"/>
            <family val="2"/>
            <charset val="238"/>
          </rPr>
          <t>Dragica Žunko:</t>
        </r>
        <r>
          <rPr>
            <sz val="9"/>
            <color indexed="81"/>
            <rFont val="Segoe UI"/>
            <family val="2"/>
            <charset val="238"/>
          </rPr>
          <t xml:space="preserve">
am inv. Št. 601 pus bavščica
</t>
        </r>
      </text>
    </comment>
    <comment ref="R253" authorId="1" shapeId="0" xr:uid="{00000000-0006-0000-0100-000007000000}">
      <text>
        <r>
          <rPr>
            <b/>
            <sz val="9"/>
            <color indexed="81"/>
            <rFont val="Segoe UI"/>
            <family val="2"/>
            <charset val="238"/>
          </rPr>
          <t>Dragica Žunko:</t>
        </r>
        <r>
          <rPr>
            <sz val="9"/>
            <color indexed="81"/>
            <rFont val="Segoe UI"/>
            <family val="2"/>
            <charset val="238"/>
          </rPr>
          <t xml:space="preserve">
am vseh preostalih os.sr. Razen 601,1997 in 1967
</t>
        </r>
      </text>
    </comment>
    <comment ref="Z268" authorId="0" shapeId="0" xr:uid="{00000000-0006-0000-0100-000008000000}">
      <text>
        <r>
          <rPr>
            <b/>
            <sz val="8"/>
            <color indexed="81"/>
            <rFont val="Tahoma"/>
            <family val="2"/>
            <charset val="238"/>
          </rPr>
          <t>Ursa:</t>
        </r>
        <r>
          <rPr>
            <sz val="8"/>
            <color indexed="81"/>
            <rFont val="Tahoma"/>
            <family val="2"/>
            <charset val="238"/>
          </rPr>
          <t xml:space="preserve">
grzs: sofinanciranje zgibanke Pozor, plaz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Ursa</author>
    <author>Dragica Žunko</author>
  </authors>
  <commentList>
    <comment ref="AL37" authorId="0" shapeId="0" xr:uid="{00000000-0006-0000-0200-000001000000}">
      <text>
        <r>
          <rPr>
            <b/>
            <sz val="8"/>
            <color indexed="81"/>
            <rFont val="Tahoma"/>
            <family val="2"/>
            <charset val="238"/>
          </rPr>
          <t>Ursa:</t>
        </r>
        <r>
          <rPr>
            <sz val="8"/>
            <color indexed="81"/>
            <rFont val="Tahoma"/>
            <family val="2"/>
            <charset val="238"/>
          </rPr>
          <t xml:space="preserve">
dopisano - račun Greco - je v bilanci</t>
        </r>
      </text>
    </comment>
    <comment ref="AD69" authorId="1" shapeId="0" xr:uid="{00000000-0006-0000-0200-000002000000}">
      <text>
        <r>
          <rPr>
            <b/>
            <sz val="9"/>
            <color indexed="81"/>
            <rFont val="Segoe UI"/>
            <family val="2"/>
            <charset val="238"/>
          </rPr>
          <t>Dragica Žunko:</t>
        </r>
        <r>
          <rPr>
            <sz val="9"/>
            <color indexed="81"/>
            <rFont val="Segoe UI"/>
            <family val="2"/>
            <charset val="238"/>
          </rPr>
          <t xml:space="preserve">
am. Inv št. 1997
plezalni stolp na prikolici
</t>
        </r>
      </text>
    </comment>
    <comment ref="AD75" authorId="1" shapeId="0" xr:uid="{00000000-0006-0000-0200-000003000000}">
      <text>
        <r>
          <rPr>
            <b/>
            <sz val="9"/>
            <color indexed="81"/>
            <rFont val="Segoe UI"/>
            <family val="2"/>
            <charset val="238"/>
          </rPr>
          <t>Dragica Žunko:</t>
        </r>
        <r>
          <rPr>
            <sz val="9"/>
            <color indexed="81"/>
            <rFont val="Segoe UI"/>
            <family val="2"/>
            <charset val="238"/>
          </rPr>
          <t xml:space="preserve">
amortizacija inv št. 1967 (gospod.vozilo)
</t>
        </r>
      </text>
    </comment>
    <comment ref="AD214" authorId="0" shapeId="0" xr:uid="{00000000-0006-0000-0200-000004000000}">
      <text>
        <r>
          <rPr>
            <b/>
            <sz val="8"/>
            <color indexed="81"/>
            <rFont val="Tahoma"/>
            <family val="2"/>
            <charset val="238"/>
          </rPr>
          <t xml:space="preserve">Dragica Žunko - ocena porabe zalog vključena 1-4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D234" authorId="1" shapeId="0" xr:uid="{00000000-0006-0000-0200-000005000000}">
      <text>
        <r>
          <rPr>
            <b/>
            <sz val="9"/>
            <color indexed="81"/>
            <rFont val="Segoe UI"/>
            <family val="2"/>
            <charset val="238"/>
          </rPr>
          <t>Dragica Žunko:</t>
        </r>
        <r>
          <rPr>
            <sz val="9"/>
            <color indexed="81"/>
            <rFont val="Segoe UI"/>
            <family val="2"/>
            <charset val="238"/>
          </rPr>
          <t xml:space="preserve">
am inv. Št. 601 pus bavščica
</t>
        </r>
      </text>
    </comment>
    <comment ref="AD260" authorId="1" shapeId="0" xr:uid="{00000000-0006-0000-0200-000006000000}">
      <text>
        <r>
          <rPr>
            <b/>
            <sz val="9"/>
            <color indexed="81"/>
            <rFont val="Segoe UI"/>
            <family val="2"/>
            <charset val="238"/>
          </rPr>
          <t>Dragica Žunko:</t>
        </r>
        <r>
          <rPr>
            <sz val="9"/>
            <color indexed="81"/>
            <rFont val="Segoe UI"/>
            <family val="2"/>
            <charset val="238"/>
          </rPr>
          <t xml:space="preserve">
am vseh preostalih os.sr. Razen 601,1997 in 1967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Ursa</author>
    <author>Mali Ursa</author>
  </authors>
  <commentList>
    <comment ref="D15" authorId="0" shapeId="0" xr:uid="{00000000-0006-0000-0300-000001000000}">
      <text>
        <r>
          <rPr>
            <b/>
            <sz val="8"/>
            <color indexed="81"/>
            <rFont val="Tahoma"/>
            <family val="2"/>
            <charset val="238"/>
          </rPr>
          <t>Ursa:</t>
        </r>
        <r>
          <rPr>
            <sz val="8"/>
            <color indexed="81"/>
            <rFont val="Tahoma"/>
            <family val="2"/>
            <charset val="238"/>
          </rPr>
          <t xml:space="preserve">
tole dvoje bi dala ven, že dve leti ni bilo nič knjiženo </t>
        </r>
      </text>
    </comment>
    <comment ref="W29" authorId="1" shapeId="0" xr:uid="{00000000-0006-0000-0300-000002000000}">
      <text>
        <r>
          <rPr>
            <b/>
            <sz val="9"/>
            <color indexed="81"/>
            <rFont val="Tahoma"/>
            <family val="2"/>
            <charset val="238"/>
          </rPr>
          <t>Mali Ursa:</t>
        </r>
        <r>
          <rPr>
            <sz val="9"/>
            <color indexed="81"/>
            <rFont val="Tahoma"/>
            <family val="2"/>
            <charset val="238"/>
          </rPr>
          <t xml:space="preserve">
če obvelja pri GK 16300 iz reciproc.
</t>
        </r>
      </text>
    </comment>
    <comment ref="D91" authorId="0" shapeId="0" xr:uid="{00000000-0006-0000-0300-000003000000}">
      <text>
        <r>
          <rPr>
            <b/>
            <sz val="8"/>
            <color indexed="81"/>
            <rFont val="Tahoma"/>
            <family val="2"/>
            <charset val="238"/>
          </rPr>
          <t>Ursa:</t>
        </r>
        <r>
          <rPr>
            <sz val="8"/>
            <color indexed="81"/>
            <rFont val="Tahoma"/>
            <family val="2"/>
            <charset val="238"/>
          </rPr>
          <t xml:space="preserve">
letni stroški vzdrževanja in amortizacija (620,98)
</t>
        </r>
      </text>
    </comment>
    <comment ref="D540" authorId="0" shapeId="0" xr:uid="{00000000-0006-0000-0300-000004000000}">
      <text>
        <r>
          <rPr>
            <b/>
            <sz val="8"/>
            <color indexed="81"/>
            <rFont val="Tahoma"/>
            <family val="2"/>
            <charset val="238"/>
          </rPr>
          <t>Ursa:</t>
        </r>
        <r>
          <rPr>
            <sz val="8"/>
            <color indexed="81"/>
            <rFont val="Tahoma"/>
            <family val="2"/>
            <charset val="238"/>
          </rPr>
          <t xml:space="preserve">
obiski opp 1279,44
povračilo stroškov članom kpp, pis. mat. 2000, promocija, sejmi 2490, mednarodno sodelovanje 5000
</t>
        </r>
      </text>
    </comment>
    <comment ref="D547" authorId="0" shapeId="0" xr:uid="{00000000-0006-0000-0300-000005000000}">
      <text>
        <r>
          <rPr>
            <b/>
            <sz val="8"/>
            <color indexed="81"/>
            <rFont val="Tahoma"/>
            <family val="2"/>
            <charset val="238"/>
          </rPr>
          <t>Ursa:</t>
        </r>
        <r>
          <rPr>
            <sz val="8"/>
            <color indexed="81"/>
            <rFont val="Tahoma"/>
            <family val="2"/>
            <charset val="238"/>
          </rPr>
          <t xml:space="preserve">
1962,02 € je za amortizacijo</t>
        </r>
      </text>
    </comment>
    <comment ref="V567" authorId="0" shapeId="0" xr:uid="{00000000-0006-0000-0300-000006000000}">
      <text>
        <r>
          <rPr>
            <b/>
            <sz val="8"/>
            <color indexed="81"/>
            <rFont val="Tahoma"/>
            <family val="2"/>
            <charset val="238"/>
          </rPr>
          <t>Ursa:</t>
        </r>
        <r>
          <rPr>
            <sz val="8"/>
            <color indexed="81"/>
            <rFont val="Tahoma"/>
            <family val="2"/>
            <charset val="238"/>
          </rPr>
          <t xml:space="preserve">
preknjižba iz trg. - prodaja zemljevidov in dnevnikov spp</t>
        </r>
      </text>
    </comment>
    <comment ref="D600" authorId="0" shapeId="0" xr:uid="{00000000-0006-0000-0300-000007000000}">
      <text>
        <r>
          <rPr>
            <b/>
            <sz val="8"/>
            <color indexed="81"/>
            <rFont val="Tahoma"/>
            <family val="2"/>
            <charset val="238"/>
          </rPr>
          <t>Ursa:</t>
        </r>
        <r>
          <rPr>
            <sz val="8"/>
            <color indexed="81"/>
            <rFont val="Tahoma"/>
            <family val="2"/>
            <charset val="238"/>
          </rPr>
          <t xml:space="preserve">
tudi amortizacija 409,58 €</t>
        </r>
      </text>
    </comment>
    <comment ref="O647" authorId="0" shapeId="0" xr:uid="{00000000-0006-0000-0300-000008000000}">
      <text>
        <r>
          <rPr>
            <b/>
            <sz val="8"/>
            <color indexed="81"/>
            <rFont val="Tahoma"/>
            <family val="2"/>
            <charset val="238"/>
          </rPr>
          <t>Ursa:</t>
        </r>
        <r>
          <rPr>
            <sz val="8"/>
            <color indexed="81"/>
            <rFont val="Tahoma"/>
            <family val="2"/>
            <charset val="238"/>
          </rPr>
          <t xml:space="preserve">
Bojanov predlog, da se premakne uro zbora - udeleženci prejmejo kosilo - ali se to krije iz čl.?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Urša Mali</author>
  </authors>
  <commentList>
    <comment ref="AE15" authorId="0" shapeId="0" xr:uid="{4B32CE7C-7E79-463A-AA6B-E4238944C36C}">
      <text>
        <r>
          <rPr>
            <b/>
            <sz val="9"/>
            <color indexed="81"/>
            <rFont val="Segoe UI"/>
            <family val="2"/>
            <charset val="238"/>
          </rPr>
          <t>Urša Mali:</t>
        </r>
        <r>
          <rPr>
            <sz val="9"/>
            <color indexed="81"/>
            <rFont val="Segoe UI"/>
            <family val="2"/>
            <charset val="238"/>
          </rPr>
          <t xml:space="preserve">
ZT PREVENTIVA</t>
        </r>
      </text>
    </comment>
  </commentList>
</comments>
</file>

<file path=xl/sharedStrings.xml><?xml version="1.0" encoding="utf-8"?>
<sst xmlns="http://schemas.openxmlformats.org/spreadsheetml/2006/main" count="5170" uniqueCount="1453">
  <si>
    <t>MEDNARODNA DEJAVNOST</t>
  </si>
  <si>
    <t>3.1.</t>
  </si>
  <si>
    <t>3.2.</t>
  </si>
  <si>
    <t>3.1.1.</t>
  </si>
  <si>
    <t>3.1.2.</t>
  </si>
  <si>
    <t>3.1.3.</t>
  </si>
  <si>
    <t>3.1.4.</t>
  </si>
  <si>
    <t>Št. SM</t>
  </si>
  <si>
    <t>Opis SM</t>
  </si>
  <si>
    <t>1 seja v Evropi</t>
  </si>
  <si>
    <t>3.2.1.</t>
  </si>
  <si>
    <t>3.2.2.</t>
  </si>
  <si>
    <t>3.2.3.</t>
  </si>
  <si>
    <t>3.2.4.</t>
  </si>
  <si>
    <t>3.2.5.</t>
  </si>
  <si>
    <t>ostalo CAA</t>
  </si>
  <si>
    <t>seja YC UIAA</t>
  </si>
  <si>
    <t>seja MC UIAA</t>
  </si>
  <si>
    <t>seja IC UIAA</t>
  </si>
  <si>
    <t>ostalo UIAA</t>
  </si>
  <si>
    <t>letna članarina UIAA</t>
  </si>
  <si>
    <t>letna članarina CAA</t>
  </si>
  <si>
    <t>skupščina CAA</t>
  </si>
  <si>
    <t>seja Komisije za koče in poti CAA</t>
  </si>
  <si>
    <t>seja Komisije za usposabljanja CAA</t>
  </si>
  <si>
    <t>seja KONSAR CAA</t>
  </si>
  <si>
    <t>3.3.</t>
  </si>
  <si>
    <t>letna članarina BMU</t>
  </si>
  <si>
    <t>ostalo BMU</t>
  </si>
  <si>
    <t>letna članarina IKAR</t>
  </si>
  <si>
    <t>skupščina IKAR</t>
  </si>
  <si>
    <t>ostalo IKAR</t>
  </si>
  <si>
    <t>letna članarina ERA</t>
  </si>
  <si>
    <t>skupščina ERA</t>
  </si>
  <si>
    <t>ostalo ERA</t>
  </si>
  <si>
    <t>letna članarina IFSC</t>
  </si>
  <si>
    <t>skupščina IFSC</t>
  </si>
  <si>
    <t>ostalo IFSC</t>
  </si>
  <si>
    <t>letna članarina ISMF</t>
  </si>
  <si>
    <t>skupščina ISMF</t>
  </si>
  <si>
    <t>ostalo ISMF</t>
  </si>
  <si>
    <t>letna članarina EU MF</t>
  </si>
  <si>
    <t>skupščina EU MF</t>
  </si>
  <si>
    <t>ostalo EU MF</t>
  </si>
  <si>
    <t>Članarina</t>
  </si>
  <si>
    <t>Sredstva FSO</t>
  </si>
  <si>
    <t>Sredstva LPŠ</t>
  </si>
  <si>
    <t>Ostalo</t>
  </si>
  <si>
    <t>Bilaterarno sodelovanje</t>
  </si>
  <si>
    <t>HPS</t>
  </si>
  <si>
    <t>OeAV</t>
  </si>
  <si>
    <t>OTK</t>
  </si>
  <si>
    <t>CAI</t>
  </si>
  <si>
    <t>SAC</t>
  </si>
  <si>
    <t>DAV</t>
  </si>
  <si>
    <t>PZ Srbije</t>
  </si>
  <si>
    <t>Zamejski Slovenci in Slovenci po svetu</t>
  </si>
  <si>
    <t>Razstava Življenje pod Triglavom</t>
  </si>
  <si>
    <t>Sestanki in srečanja</t>
  </si>
  <si>
    <t>Konferenca oz. okrogla miza</t>
  </si>
  <si>
    <t>Sponzorstvo</t>
  </si>
  <si>
    <t>2.</t>
  </si>
  <si>
    <t>2.1.</t>
  </si>
  <si>
    <t>2.1.1.</t>
  </si>
  <si>
    <t>2.1.2.</t>
  </si>
  <si>
    <t>2.2.</t>
  </si>
  <si>
    <t>2.2.1.</t>
  </si>
  <si>
    <t>2.2.2.</t>
  </si>
  <si>
    <t>2.3.</t>
  </si>
  <si>
    <t>2.3.1.</t>
  </si>
  <si>
    <t>2.3.2.</t>
  </si>
  <si>
    <t>2.4.1.</t>
  </si>
  <si>
    <t>2.4.2.</t>
  </si>
  <si>
    <t>Odbor Gore in varnost</t>
  </si>
  <si>
    <t>Seje Odbora Gore in varnost</t>
  </si>
  <si>
    <t>Posvet Gore in varnost</t>
  </si>
  <si>
    <t>SKUPAJ</t>
  </si>
  <si>
    <t>3.</t>
  </si>
  <si>
    <t>Skupne planinske akcije</t>
  </si>
  <si>
    <t>Dan slovenskih planinskih doživetij</t>
  </si>
  <si>
    <t>Festival gorniškega filma</t>
  </si>
  <si>
    <t>2.1.4.</t>
  </si>
  <si>
    <t>Obvestila PZS</t>
  </si>
  <si>
    <t xml:space="preserve">Darila ob obiskih tujih gostov </t>
  </si>
  <si>
    <t>Ostalo (mednarodna dejavnost)</t>
  </si>
  <si>
    <t>Ostalo (Zamejski Slovenci in Slovenci po svetu)</t>
  </si>
  <si>
    <t>Ostalo (Bilaterarno sodelovanje)</t>
  </si>
  <si>
    <t>Sestanek predstavnikov PZS v med. organizacijah</t>
  </si>
  <si>
    <t>Lastna dej.</t>
  </si>
  <si>
    <t>Št.</t>
  </si>
  <si>
    <t>Vrednost</t>
  </si>
  <si>
    <t>SKUPAJ
PRIHODKI</t>
  </si>
  <si>
    <t>RAZLIKA</t>
  </si>
  <si>
    <t>SKUPAJ
ODHODKI</t>
  </si>
  <si>
    <t>Opis</t>
  </si>
  <si>
    <t xml:space="preserve">Delovna skupina za častni kodeks </t>
  </si>
  <si>
    <t>Komisija za pripravo volitev</t>
  </si>
  <si>
    <t>Seja skupščine</t>
  </si>
  <si>
    <t>1 seja</t>
  </si>
  <si>
    <t>v 2015 ni volitev</t>
  </si>
  <si>
    <t>3 seje</t>
  </si>
  <si>
    <t>2 seji</t>
  </si>
  <si>
    <t>4 seje</t>
  </si>
  <si>
    <t>v letu 2015 ni DS</t>
  </si>
  <si>
    <t>20 sej</t>
  </si>
  <si>
    <t>v letu 2015 organizira PZS</t>
  </si>
  <si>
    <t>J. Koreja, oktober</t>
  </si>
  <si>
    <t>ni članarine</t>
  </si>
  <si>
    <t>skupščina BMU</t>
  </si>
  <si>
    <t>simpozij BMU</t>
  </si>
  <si>
    <t>v sklopu skupščine UIAA</t>
  </si>
  <si>
    <t>Združenje za reciprociteto</t>
  </si>
  <si>
    <t>letna članarina združenja za reciprociteto</t>
  </si>
  <si>
    <t>skupščina združenja za reciprociteto</t>
  </si>
  <si>
    <t>ostalo - združenje za reciprociteto</t>
  </si>
  <si>
    <t>v sklopu skupščine CAA</t>
  </si>
  <si>
    <t>4.</t>
  </si>
  <si>
    <t>4.1.</t>
  </si>
  <si>
    <t>4.1.1.</t>
  </si>
  <si>
    <t>4.1.2.</t>
  </si>
  <si>
    <t>4.1.3.</t>
  </si>
  <si>
    <t>4.1.4.</t>
  </si>
  <si>
    <t>4.1.5.</t>
  </si>
  <si>
    <t>4.2.</t>
  </si>
  <si>
    <t>4.2.1.</t>
  </si>
  <si>
    <t>4.2.2.</t>
  </si>
  <si>
    <t>4.2.3.</t>
  </si>
  <si>
    <t>4.2.4.</t>
  </si>
  <si>
    <t>4.2.5.</t>
  </si>
  <si>
    <t>4.3.</t>
  </si>
  <si>
    <t>4.3.1.</t>
  </si>
  <si>
    <t>4.3.2.</t>
  </si>
  <si>
    <t>4.3.4.</t>
  </si>
  <si>
    <t>4.3.5.</t>
  </si>
  <si>
    <t>5.</t>
  </si>
  <si>
    <t>5.1.</t>
  </si>
  <si>
    <t>PLANINSKI SKLAD</t>
  </si>
  <si>
    <t>Vzdrževanje planinskih poti</t>
  </si>
  <si>
    <t>5.1.1.</t>
  </si>
  <si>
    <t>5.1.2.</t>
  </si>
  <si>
    <t>Razpis za PD za vzdrževanje pl. poti</t>
  </si>
  <si>
    <t>Vzdrževanje zahtevnih in zelo zahtevnih pl. poti</t>
  </si>
  <si>
    <t>Kataster pl. poti</t>
  </si>
  <si>
    <t>5.2.</t>
  </si>
  <si>
    <t>5.2.1.</t>
  </si>
  <si>
    <t>5.2.2.</t>
  </si>
  <si>
    <t>5.2.3.</t>
  </si>
  <si>
    <t>5.2.5.</t>
  </si>
  <si>
    <t>Delovanje svetovalne pisarne PZS</t>
  </si>
  <si>
    <t>Certifikat "Okolju prijazna pl. koča"</t>
  </si>
  <si>
    <t>5.3.</t>
  </si>
  <si>
    <t>5.3.1.</t>
  </si>
  <si>
    <t>Planinski vestnik</t>
  </si>
  <si>
    <t>Sofinanciranje naročnine za člane PZS</t>
  </si>
  <si>
    <t>5.3.2.</t>
  </si>
  <si>
    <t>Slovenski planinski muzej</t>
  </si>
  <si>
    <t>Sofinanciranje delovanja SPM</t>
  </si>
  <si>
    <t>Sofinanciranje aktivnosti PZS v SPM</t>
  </si>
  <si>
    <t>6.</t>
  </si>
  <si>
    <t>6.1.</t>
  </si>
  <si>
    <t>6.1.1.</t>
  </si>
  <si>
    <t>6.1.2.</t>
  </si>
  <si>
    <t>6.1.3.</t>
  </si>
  <si>
    <t>6.1.4.</t>
  </si>
  <si>
    <t>6.1.5.</t>
  </si>
  <si>
    <t>MDO PD Gorenjske</t>
  </si>
  <si>
    <t>MDO PD Dolenjske in Bele krajine</t>
  </si>
  <si>
    <t>6.2.</t>
  </si>
  <si>
    <t>6.2.1.</t>
  </si>
  <si>
    <t>6.2.2.</t>
  </si>
  <si>
    <t>6.2.3.</t>
  </si>
  <si>
    <t>6.2.4.</t>
  </si>
  <si>
    <t>6.2.5.</t>
  </si>
  <si>
    <t>6.3.</t>
  </si>
  <si>
    <t>6.3.1.</t>
  </si>
  <si>
    <t>6.3.2.</t>
  </si>
  <si>
    <t>6.3.3.</t>
  </si>
  <si>
    <t>MDO PD Koroške</t>
  </si>
  <si>
    <t>6.4.</t>
  </si>
  <si>
    <t>MDO PD Ljubljana</t>
  </si>
  <si>
    <t>6.4.1.</t>
  </si>
  <si>
    <t>6.4.2.</t>
  </si>
  <si>
    <t>6.5.</t>
  </si>
  <si>
    <t>MDO PD Kamniško Bistriški</t>
  </si>
  <si>
    <t>6.5.1.</t>
  </si>
  <si>
    <t>6.5.2.</t>
  </si>
  <si>
    <t>6.5.3.</t>
  </si>
  <si>
    <t>6.6.</t>
  </si>
  <si>
    <t>MDO PD Notranjske</t>
  </si>
  <si>
    <t>6.6.1.</t>
  </si>
  <si>
    <t>6.6.2.</t>
  </si>
  <si>
    <t>6.6.3.</t>
  </si>
  <si>
    <t>6.6.4.</t>
  </si>
  <si>
    <t>6.6.5.</t>
  </si>
  <si>
    <t>6.7.</t>
  </si>
  <si>
    <t>MDO PD Podravja</t>
  </si>
  <si>
    <t>6.7.1.</t>
  </si>
  <si>
    <t>6.7.2.</t>
  </si>
  <si>
    <t>6.7.3.</t>
  </si>
  <si>
    <t>6.7.4.</t>
  </si>
  <si>
    <t>6.7.5.</t>
  </si>
  <si>
    <t>6.8.</t>
  </si>
  <si>
    <t>MDO PD Pomurja</t>
  </si>
  <si>
    <t>6.9.</t>
  </si>
  <si>
    <t>MDO PD Posočja</t>
  </si>
  <si>
    <t>6.9.1.</t>
  </si>
  <si>
    <t>MDO PD Primorsko-Notranjske</t>
  </si>
  <si>
    <t>MDO PD Savinjske</t>
  </si>
  <si>
    <t>MDO PD Zasavja</t>
  </si>
  <si>
    <t>7.</t>
  </si>
  <si>
    <t>Planinska trgovina</t>
  </si>
  <si>
    <t>Stroški materiala</t>
  </si>
  <si>
    <t>Stroški storitev in distribucije</t>
  </si>
  <si>
    <t>7.1.</t>
  </si>
  <si>
    <t>7.1.1.</t>
  </si>
  <si>
    <t>7.1.2.</t>
  </si>
  <si>
    <t>7.1.3.</t>
  </si>
  <si>
    <t>7.1.4.</t>
  </si>
  <si>
    <t>7.1.5.</t>
  </si>
  <si>
    <t>7.2.</t>
  </si>
  <si>
    <t>7.2.1.</t>
  </si>
  <si>
    <t>7.2.2.</t>
  </si>
  <si>
    <t>7.2.4.</t>
  </si>
  <si>
    <t>7.3.</t>
  </si>
  <si>
    <t>7.3.1.</t>
  </si>
  <si>
    <t>Sofinanciranje skupnih stroškov dela</t>
  </si>
  <si>
    <t>8.</t>
  </si>
  <si>
    <t>Planinski koledar</t>
  </si>
  <si>
    <t>Stroški honorarjev</t>
  </si>
  <si>
    <t>Stroški storitev</t>
  </si>
  <si>
    <t>8.1.</t>
  </si>
  <si>
    <t>8.1.1.</t>
  </si>
  <si>
    <t>8.1.2.</t>
  </si>
  <si>
    <t>8.1.3.</t>
  </si>
  <si>
    <t>8.2.</t>
  </si>
  <si>
    <t>8.3.</t>
  </si>
  <si>
    <t>9.</t>
  </si>
  <si>
    <t>9.1.</t>
  </si>
  <si>
    <t>9.1.1.</t>
  </si>
  <si>
    <t>9.1.2.</t>
  </si>
  <si>
    <t>9.2.</t>
  </si>
  <si>
    <t>9.2.1.</t>
  </si>
  <si>
    <t>9.2.2.</t>
  </si>
  <si>
    <t>9.3.</t>
  </si>
  <si>
    <t>9.3.1.</t>
  </si>
  <si>
    <t>9.3.2.</t>
  </si>
  <si>
    <t>10.</t>
  </si>
  <si>
    <t>Slovenska mladinska alpinistična reprezentanca</t>
  </si>
  <si>
    <t>Usposabljanja</t>
  </si>
  <si>
    <t>Slovenska članska alpinistična reprezentanca</t>
  </si>
  <si>
    <t>Ostale aktivnosti</t>
  </si>
  <si>
    <t>Izpiti za alpinistične inštruktorje</t>
  </si>
  <si>
    <t>10.1.</t>
  </si>
  <si>
    <t>10.1.1.</t>
  </si>
  <si>
    <t>10.1.2.</t>
  </si>
  <si>
    <t>10.1.3.</t>
  </si>
  <si>
    <t>10.1.4.</t>
  </si>
  <si>
    <t>10.2.</t>
  </si>
  <si>
    <t>10.2.1.</t>
  </si>
  <si>
    <t>10.2.2.</t>
  </si>
  <si>
    <t>10.2.3.</t>
  </si>
  <si>
    <t>10.3.</t>
  </si>
  <si>
    <t>10.3.1.</t>
  </si>
  <si>
    <t>10.3.2.</t>
  </si>
  <si>
    <t>10.3.4.</t>
  </si>
  <si>
    <t>Organizacijske aktivnosti</t>
  </si>
  <si>
    <t>Podelitev najvišjih priznanj s področja alpinizma</t>
  </si>
  <si>
    <t xml:space="preserve">Izpiti za alpiniste </t>
  </si>
  <si>
    <t>Alpinistični tabor - Slovenija</t>
  </si>
  <si>
    <t>Alpinistični tabor - tujina</t>
  </si>
  <si>
    <t>Zbor alpinistov</t>
  </si>
  <si>
    <t>Srečanje alpinistov veteranov</t>
  </si>
  <si>
    <t>Zbornik Slovenski alpinizem</t>
  </si>
  <si>
    <t>10.3.3.</t>
  </si>
  <si>
    <t>10.4.1.</t>
  </si>
  <si>
    <t>10.4.2.</t>
  </si>
  <si>
    <t>10.4.3.</t>
  </si>
  <si>
    <t>10.4.4.</t>
  </si>
  <si>
    <t>10.5.1.</t>
  </si>
  <si>
    <t>10.5.2.</t>
  </si>
  <si>
    <t>11.</t>
  </si>
  <si>
    <t>Zbor komisije</t>
  </si>
  <si>
    <t>Komisija za gorske športe (KGŠ)</t>
  </si>
  <si>
    <t>Komisija za alpinizem (KA)</t>
  </si>
  <si>
    <t>Zbor načelnikov</t>
  </si>
  <si>
    <t>Seje strokovnih organov</t>
  </si>
  <si>
    <t>Tekmovanja</t>
  </si>
  <si>
    <t>Tečaj za sodnike tekmovalnega lednega plezanja</t>
  </si>
  <si>
    <t>Tečaj za sodnike tekmovalnega turnega smučanja</t>
  </si>
  <si>
    <t>11.1.</t>
  </si>
  <si>
    <t>11.1.1.</t>
  </si>
  <si>
    <t>11.1.2.</t>
  </si>
  <si>
    <t>11.1.3.</t>
  </si>
  <si>
    <t>11.1.4.</t>
  </si>
  <si>
    <t>11.2.</t>
  </si>
  <si>
    <t>11.2.1.</t>
  </si>
  <si>
    <t>11.2.2.</t>
  </si>
  <si>
    <t>11.2.3.</t>
  </si>
  <si>
    <t>11.3.</t>
  </si>
  <si>
    <t>11.3.1.</t>
  </si>
  <si>
    <t>11.3.2.</t>
  </si>
  <si>
    <t>11.4.</t>
  </si>
  <si>
    <t>11.4.1.</t>
  </si>
  <si>
    <t>11.4.2.</t>
  </si>
  <si>
    <t>11.4.3.</t>
  </si>
  <si>
    <t>11.4.4.</t>
  </si>
  <si>
    <t>11.3.3.</t>
  </si>
  <si>
    <t>12.</t>
  </si>
  <si>
    <t>Gospodarska komisija (GK)</t>
  </si>
  <si>
    <t xml:space="preserve">Seje izvršnega odbora </t>
  </si>
  <si>
    <t>Seje izvršnega odbora</t>
  </si>
  <si>
    <t>Usposabljanje za oskrbnike planinskih koč</t>
  </si>
  <si>
    <t>Planinske karte</t>
  </si>
  <si>
    <t>Planinski in plezalni vodniki</t>
  </si>
  <si>
    <t>Strokovna literatura</t>
  </si>
  <si>
    <t>Leposlovje</t>
  </si>
  <si>
    <t>Dnevniki</t>
  </si>
  <si>
    <t>Ostali izdelki</t>
  </si>
  <si>
    <t>Promocijski izdelki</t>
  </si>
  <si>
    <t>Tekstilni izdelki</t>
  </si>
  <si>
    <t>Izdelki za planinska društva</t>
  </si>
  <si>
    <t>Multimedija</t>
  </si>
  <si>
    <t>Promocija</t>
  </si>
  <si>
    <t>Spletna trgovina</t>
  </si>
  <si>
    <t>Katalog izdelkov</t>
  </si>
  <si>
    <t>1.</t>
  </si>
  <si>
    <t>1.1.</t>
  </si>
  <si>
    <t>Materialni stroški članarine</t>
  </si>
  <si>
    <t>Zavarovanje članov</t>
  </si>
  <si>
    <t>1.1.1.</t>
  </si>
  <si>
    <t>1.1.2.</t>
  </si>
  <si>
    <t>1.2.</t>
  </si>
  <si>
    <t>1.2.1.</t>
  </si>
  <si>
    <t>1.2.2.</t>
  </si>
  <si>
    <t>1.2.3.</t>
  </si>
  <si>
    <t>1.2.4.</t>
  </si>
  <si>
    <t>1.2.5.</t>
  </si>
  <si>
    <t>Amortizacija</t>
  </si>
  <si>
    <t>Strokovna služba</t>
  </si>
  <si>
    <t>Bruto plače</t>
  </si>
  <si>
    <t>Prispevki delodajalca</t>
  </si>
  <si>
    <t>Drugi stroški dela</t>
  </si>
  <si>
    <t>13.</t>
  </si>
  <si>
    <t>Mladinska komisija (MK)</t>
  </si>
  <si>
    <t>12.1.</t>
  </si>
  <si>
    <t>12.1.1.</t>
  </si>
  <si>
    <t>12.1.2.</t>
  </si>
  <si>
    <t>12.1.3.</t>
  </si>
  <si>
    <t>12.1.4.</t>
  </si>
  <si>
    <t>12.2.</t>
  </si>
  <si>
    <t>12.2.1.</t>
  </si>
  <si>
    <t>12.2.2.</t>
  </si>
  <si>
    <t>12.2.3.</t>
  </si>
  <si>
    <t>12.3.</t>
  </si>
  <si>
    <t>12.3.1.</t>
  </si>
  <si>
    <t>12.3.2.</t>
  </si>
  <si>
    <t>12.4.</t>
  </si>
  <si>
    <t>12.4.1.</t>
  </si>
  <si>
    <t>12.4.2.</t>
  </si>
  <si>
    <t>14.4.4.</t>
  </si>
  <si>
    <t>12.5.</t>
  </si>
  <si>
    <t>12.5.1.</t>
  </si>
  <si>
    <t>13.1.</t>
  </si>
  <si>
    <t>13.1.1.</t>
  </si>
  <si>
    <t>13.1.2.</t>
  </si>
  <si>
    <t>13.1.3.</t>
  </si>
  <si>
    <t>13.1.4.</t>
  </si>
  <si>
    <t>13.2.</t>
  </si>
  <si>
    <t>13.2.1.</t>
  </si>
  <si>
    <t>13.2.2.</t>
  </si>
  <si>
    <t>13.2.3.</t>
  </si>
  <si>
    <t>13.3.</t>
  </si>
  <si>
    <t>13.3.1.</t>
  </si>
  <si>
    <t>13.3.2.</t>
  </si>
  <si>
    <t>13.4.</t>
  </si>
  <si>
    <t>13.4.1.</t>
  </si>
  <si>
    <t>13.4.2.</t>
  </si>
  <si>
    <t>13.4.3.</t>
  </si>
  <si>
    <t>13.4.4.</t>
  </si>
  <si>
    <t>13.5.</t>
  </si>
  <si>
    <t>13.5.1.</t>
  </si>
  <si>
    <t>Slovensko planinsko orientacijsko tekmovanje</t>
  </si>
  <si>
    <t>Neformalno izobraževanje Mladinski voditelj</t>
  </si>
  <si>
    <t>Seminar za mentorje planinskih skupin</t>
  </si>
  <si>
    <t>Izpopolnjevanje za mentorje planinskih skupin</t>
  </si>
  <si>
    <t>Seminar družabnosti v gorah</t>
  </si>
  <si>
    <t>Seminar orientacije</t>
  </si>
  <si>
    <t>Seminar za traserje in organizatorje POT</t>
  </si>
  <si>
    <t>Projekti</t>
  </si>
  <si>
    <t>Nagradni tabor za najboljše ekipe MIG in SPOT</t>
  </si>
  <si>
    <t>Srečanje mladinskih voditeljev</t>
  </si>
  <si>
    <t>Sofinanciranje pl. taborov (razpis za PD)</t>
  </si>
  <si>
    <t>Komisija za planinske poti (KPP)</t>
  </si>
  <si>
    <t>14.</t>
  </si>
  <si>
    <t>14.1.</t>
  </si>
  <si>
    <t>14.1.1.</t>
  </si>
  <si>
    <t>14.1.2.</t>
  </si>
  <si>
    <t>14.1.3.</t>
  </si>
  <si>
    <t>14.1.4.</t>
  </si>
  <si>
    <t>14.2.</t>
  </si>
  <si>
    <t>14.2.1.</t>
  </si>
  <si>
    <t>14.2.2.</t>
  </si>
  <si>
    <t>14.2.3.</t>
  </si>
  <si>
    <t>14.3.</t>
  </si>
  <si>
    <t>14.3.1.</t>
  </si>
  <si>
    <t>14.3.2.</t>
  </si>
  <si>
    <t>14.3.4.</t>
  </si>
  <si>
    <t>14.4.</t>
  </si>
  <si>
    <t>14.4.1.</t>
  </si>
  <si>
    <t>14.4.2.</t>
  </si>
  <si>
    <t>14.4.3.</t>
  </si>
  <si>
    <t>14.4.5.</t>
  </si>
  <si>
    <t>14.3.3.</t>
  </si>
  <si>
    <t>14.5.</t>
  </si>
  <si>
    <t>14.5.1.</t>
  </si>
  <si>
    <t>15.</t>
  </si>
  <si>
    <t>Komisija za športno plezanje (KŠP)</t>
  </si>
  <si>
    <t>15.1.</t>
  </si>
  <si>
    <t>15.1.1.</t>
  </si>
  <si>
    <t>15.1.2.</t>
  </si>
  <si>
    <t>15.1.3.</t>
  </si>
  <si>
    <t>15.1.4.</t>
  </si>
  <si>
    <t>15.2.</t>
  </si>
  <si>
    <t>15.2.1.</t>
  </si>
  <si>
    <t>15.2.2.</t>
  </si>
  <si>
    <t>15.2.3.</t>
  </si>
  <si>
    <t>15.3.</t>
  </si>
  <si>
    <t>15.3.1.</t>
  </si>
  <si>
    <t>15.3.2.</t>
  </si>
  <si>
    <t>15.4.</t>
  </si>
  <si>
    <t>15.4.1.</t>
  </si>
  <si>
    <t>15.4.2.</t>
  </si>
  <si>
    <t>15.4.3.</t>
  </si>
  <si>
    <t>15.3.3.</t>
  </si>
  <si>
    <t>15.5.</t>
  </si>
  <si>
    <t>15.5.1.</t>
  </si>
  <si>
    <t>16.</t>
  </si>
  <si>
    <t>Komisija za turno kolesarstvo (KTK)</t>
  </si>
  <si>
    <t>16.1.</t>
  </si>
  <si>
    <t>16.1.1.</t>
  </si>
  <si>
    <t>16.1.2.</t>
  </si>
  <si>
    <t>16.1.3.</t>
  </si>
  <si>
    <t>16.1.4.</t>
  </si>
  <si>
    <t>16.2.</t>
  </si>
  <si>
    <t>16.2.1.</t>
  </si>
  <si>
    <t>16.2.2.</t>
  </si>
  <si>
    <t>16.2.3.</t>
  </si>
  <si>
    <t>16.3.</t>
  </si>
  <si>
    <t>16.3.1.</t>
  </si>
  <si>
    <t>16.3.2.</t>
  </si>
  <si>
    <t>16.4.</t>
  </si>
  <si>
    <t>16.4.1.</t>
  </si>
  <si>
    <t>16.4.2.</t>
  </si>
  <si>
    <t>16.5.</t>
  </si>
  <si>
    <t>16.5.1.</t>
  </si>
  <si>
    <t>16.5.2.</t>
  </si>
  <si>
    <t>17.</t>
  </si>
  <si>
    <t>Komisija za varstvo gorske narave (KVGN)</t>
  </si>
  <si>
    <t>17.1.</t>
  </si>
  <si>
    <t>17.1.1.</t>
  </si>
  <si>
    <t>17.1.2.</t>
  </si>
  <si>
    <t>17.1.3.</t>
  </si>
  <si>
    <t>17.1.4.</t>
  </si>
  <si>
    <t>17.2.</t>
  </si>
  <si>
    <t>17.2.1.</t>
  </si>
  <si>
    <t>17.2.2.</t>
  </si>
  <si>
    <t>17.2.3.</t>
  </si>
  <si>
    <t>17.3.</t>
  </si>
  <si>
    <t>17.3.1.</t>
  </si>
  <si>
    <t>17.3.2.</t>
  </si>
  <si>
    <t>17.4.</t>
  </si>
  <si>
    <t>17.4.1.</t>
  </si>
  <si>
    <t>17.4.2.</t>
  </si>
  <si>
    <t>17.4.3.</t>
  </si>
  <si>
    <t>17.4.4.</t>
  </si>
  <si>
    <t>17.5.</t>
  </si>
  <si>
    <t>18.</t>
  </si>
  <si>
    <t>Vodniška komisija (VK)</t>
  </si>
  <si>
    <t>18.1.</t>
  </si>
  <si>
    <t>18.1.1.</t>
  </si>
  <si>
    <t>18.1.2.</t>
  </si>
  <si>
    <t>18.1.3.</t>
  </si>
  <si>
    <t>18.1.4.</t>
  </si>
  <si>
    <t>18.2.</t>
  </si>
  <si>
    <t>18.2.1.</t>
  </si>
  <si>
    <t>18.2.2.</t>
  </si>
  <si>
    <t>18.2.3.</t>
  </si>
  <si>
    <t>18.3.</t>
  </si>
  <si>
    <t>18.3.1.</t>
  </si>
  <si>
    <t>18.4.</t>
  </si>
  <si>
    <t>18.4.1.</t>
  </si>
  <si>
    <t>18.4.2.</t>
  </si>
  <si>
    <t>18.5.</t>
  </si>
  <si>
    <t>18.5.1.</t>
  </si>
  <si>
    <t>17.5.1.</t>
  </si>
  <si>
    <t>Sofinanciranje skupnih stroškov dela in materiala</t>
  </si>
  <si>
    <t>Sofinanciranje skupnih stroškov materiala</t>
  </si>
  <si>
    <t>Skupščina</t>
  </si>
  <si>
    <t>Upravni odbor</t>
  </si>
  <si>
    <t>Seje upravnega odbora</t>
  </si>
  <si>
    <t>Delovne skupine upravnega odbora</t>
  </si>
  <si>
    <t>Predsedstvo</t>
  </si>
  <si>
    <t>Seje predsedstva (potni stroški)</t>
  </si>
  <si>
    <t>Potni stroški članov predsedstva (aktivnosti)</t>
  </si>
  <si>
    <t>Odhodki po sklepu predsedstva</t>
  </si>
  <si>
    <t>Odbor za članstvo</t>
  </si>
  <si>
    <t>Seje Odbora za članstvo</t>
  </si>
  <si>
    <t>Seje Odbora za pravne zadeve</t>
  </si>
  <si>
    <t>Odbor za pravne zadeve</t>
  </si>
  <si>
    <t>Raziskovalna skupina</t>
  </si>
  <si>
    <t>Seje Raziskovalne skupine</t>
  </si>
  <si>
    <t>Projekt Raziskovalne skupine</t>
  </si>
  <si>
    <t xml:space="preserve">Nagrade Raziskovalne skupine </t>
  </si>
  <si>
    <t>Svečana podelitev najvišjih priznanj</t>
  </si>
  <si>
    <t>Spletna stran</t>
  </si>
  <si>
    <t>Odbor za usposabljane in preventivo</t>
  </si>
  <si>
    <t>Seje Odbora za usposabljanje in preventivo</t>
  </si>
  <si>
    <t>Odbor za založništvo in informiranje</t>
  </si>
  <si>
    <t>Seje Odbora za založništvo in informairanje</t>
  </si>
  <si>
    <t>Nadzorni odbor</t>
  </si>
  <si>
    <t>Seje Nadzornega odbora</t>
  </si>
  <si>
    <t>Delovna skupina za vodila PZS</t>
  </si>
  <si>
    <t>ORGANI (razen komisij)</t>
  </si>
  <si>
    <t>ČLANARINA</t>
  </si>
  <si>
    <t>Poštnina</t>
  </si>
  <si>
    <t>Članske znamkice</t>
  </si>
  <si>
    <t>Članske izkaznice</t>
  </si>
  <si>
    <t>Vzdrževanje opreme</t>
  </si>
  <si>
    <t>Provizija za spletno prodajo (pl. kartice)</t>
  </si>
  <si>
    <t>Provizija Petrol</t>
  </si>
  <si>
    <t>Druge dajatve</t>
  </si>
  <si>
    <t>Interni odhodki med komisijami</t>
  </si>
  <si>
    <t>Zavarovalne premije - odgovornosti</t>
  </si>
  <si>
    <t>Zavarovalne premije - nezgodno zavarovanje</t>
  </si>
  <si>
    <t>Zavarovalne premije - Coris</t>
  </si>
  <si>
    <t>2.4.</t>
  </si>
  <si>
    <t>Strokovna ekskurzija za ogled primerov dobre prakse</t>
  </si>
  <si>
    <t>4.1.6.</t>
  </si>
  <si>
    <t>4.2.6.</t>
  </si>
  <si>
    <t>4.4.</t>
  </si>
  <si>
    <t>4.4.1.</t>
  </si>
  <si>
    <t>4.4.2.</t>
  </si>
  <si>
    <t>4.4.3.</t>
  </si>
  <si>
    <t>4.5.</t>
  </si>
  <si>
    <t>4.5.1.</t>
  </si>
  <si>
    <t>4.5.2.</t>
  </si>
  <si>
    <t>4.5.3.</t>
  </si>
  <si>
    <t>4.6.</t>
  </si>
  <si>
    <t>4.6.1.</t>
  </si>
  <si>
    <t>4.6.2.</t>
  </si>
  <si>
    <t>4.6.3.</t>
  </si>
  <si>
    <t>4.7.</t>
  </si>
  <si>
    <t>4.7.1.</t>
  </si>
  <si>
    <t>4.7.2.</t>
  </si>
  <si>
    <t>4.7.3.</t>
  </si>
  <si>
    <t>4.8.</t>
  </si>
  <si>
    <t>4.8.1.</t>
  </si>
  <si>
    <t>4.8.2.</t>
  </si>
  <si>
    <t>4.8.3.</t>
  </si>
  <si>
    <t>4.9.</t>
  </si>
  <si>
    <t>4.9.1.</t>
  </si>
  <si>
    <t>4.9.2.</t>
  </si>
  <si>
    <t>4.9.3.</t>
  </si>
  <si>
    <t>4.9.4.</t>
  </si>
  <si>
    <t>4.9.5.</t>
  </si>
  <si>
    <t>4.9.6.</t>
  </si>
  <si>
    <t>4.9.7.</t>
  </si>
  <si>
    <t>4.9.8.</t>
  </si>
  <si>
    <t>4.10.</t>
  </si>
  <si>
    <t>4.10.1.</t>
  </si>
  <si>
    <t>4.10.2.</t>
  </si>
  <si>
    <t>4.10.3.</t>
  </si>
  <si>
    <t>4.10.4.</t>
  </si>
  <si>
    <t>4.11.</t>
  </si>
  <si>
    <t>4.11.1.</t>
  </si>
  <si>
    <t>4.11.2.</t>
  </si>
  <si>
    <t>4.11.3.</t>
  </si>
  <si>
    <t>IKAR - Mednarodna komisija za reševanje v gorah</t>
  </si>
  <si>
    <t>ERA - Evropska popotniška zveza</t>
  </si>
  <si>
    <t>IFSC - Mednarodna zveza za športno plezanje</t>
  </si>
  <si>
    <t>ISMF - Mednarodna turnosmučarska zveza</t>
  </si>
  <si>
    <t>PZ Makedonije</t>
  </si>
  <si>
    <t>PZ BIH</t>
  </si>
  <si>
    <t>4.9.9.</t>
  </si>
  <si>
    <t>4.9.10.</t>
  </si>
  <si>
    <t>Ostali stroški mednarodnega sodelovanja</t>
  </si>
  <si>
    <t>5.3.4.</t>
  </si>
  <si>
    <t>5.3.5.</t>
  </si>
  <si>
    <t>Planinsko učno središče Bavšica</t>
  </si>
  <si>
    <t xml:space="preserve">Skupni materialni stroški </t>
  </si>
  <si>
    <t xml:space="preserve">10.3. </t>
  </si>
  <si>
    <t xml:space="preserve">10.4. </t>
  </si>
  <si>
    <t xml:space="preserve">10.5. </t>
  </si>
  <si>
    <t>10.6.</t>
  </si>
  <si>
    <t>10.6.1.</t>
  </si>
  <si>
    <t>10.6.2.</t>
  </si>
  <si>
    <t>10.7.</t>
  </si>
  <si>
    <t>10.8.</t>
  </si>
  <si>
    <t>10.8.1.</t>
  </si>
  <si>
    <t>10.8.2.</t>
  </si>
  <si>
    <t>10.8.3.</t>
  </si>
  <si>
    <t>10.9.</t>
  </si>
  <si>
    <t>10.9.1.</t>
  </si>
  <si>
    <t>10.9.2.</t>
  </si>
  <si>
    <t>10.9.3.</t>
  </si>
  <si>
    <t>10.9.4.</t>
  </si>
  <si>
    <t>10.10.</t>
  </si>
  <si>
    <t>10.11.</t>
  </si>
  <si>
    <t>10.12.</t>
  </si>
  <si>
    <t>10.13.</t>
  </si>
  <si>
    <t>10.14.</t>
  </si>
  <si>
    <t>10.15.</t>
  </si>
  <si>
    <t>10.16.</t>
  </si>
  <si>
    <t>10.17.</t>
  </si>
  <si>
    <t>10.18.</t>
  </si>
  <si>
    <t>10.19.</t>
  </si>
  <si>
    <t>10.20.</t>
  </si>
  <si>
    <t>10.21.</t>
  </si>
  <si>
    <t>11.5.</t>
  </si>
  <si>
    <t>19.</t>
  </si>
  <si>
    <t>19.1.</t>
  </si>
  <si>
    <t>19.1.1.</t>
  </si>
  <si>
    <t>19.1.2.</t>
  </si>
  <si>
    <t>19.1.3.</t>
  </si>
  <si>
    <t>19.1.4.</t>
  </si>
  <si>
    <t>19.2.</t>
  </si>
  <si>
    <t>19.2.1.</t>
  </si>
  <si>
    <t>19.2.2.</t>
  </si>
  <si>
    <t>19.2.3.</t>
  </si>
  <si>
    <t>19.3.</t>
  </si>
  <si>
    <t>19.3.1.</t>
  </si>
  <si>
    <t>19.3.2.</t>
  </si>
  <si>
    <t>19.3.4.</t>
  </si>
  <si>
    <t>19.4.</t>
  </si>
  <si>
    <t>19.4.1.</t>
  </si>
  <si>
    <t>19.4.2.</t>
  </si>
  <si>
    <t>19.4.3.</t>
  </si>
  <si>
    <t>19.3.3.</t>
  </si>
  <si>
    <t>19.3.5.</t>
  </si>
  <si>
    <t>19.5.</t>
  </si>
  <si>
    <t>19.5.1.</t>
  </si>
  <si>
    <t>Regres za letni dopust</t>
  </si>
  <si>
    <t>ESS prispevki na place</t>
  </si>
  <si>
    <t>Prehrana med delom</t>
  </si>
  <si>
    <t>Prevoz na delo in z dela</t>
  </si>
  <si>
    <t>Prispevki delodajalca na plače</t>
  </si>
  <si>
    <t>ESS bruto plače</t>
  </si>
  <si>
    <t>9.3.3.</t>
  </si>
  <si>
    <t>EU MF - EU mountaineering forum</t>
  </si>
  <si>
    <t>11.5.4.</t>
  </si>
  <si>
    <t>11.5.5.</t>
  </si>
  <si>
    <t>11.5.6.</t>
  </si>
  <si>
    <t>11.6.</t>
  </si>
  <si>
    <t>11.6.1.</t>
  </si>
  <si>
    <t>12.7.</t>
  </si>
  <si>
    <t>12.7.1.</t>
  </si>
  <si>
    <t>Mladinska reprezentanca v šp. plezanju</t>
  </si>
  <si>
    <t>Članska reprezentaca v šp. plezanju</t>
  </si>
  <si>
    <t>16.5.3.</t>
  </si>
  <si>
    <t>16.5.4.</t>
  </si>
  <si>
    <t>16.5.5.</t>
  </si>
  <si>
    <t>16.6.</t>
  </si>
  <si>
    <t>16.6.1.</t>
  </si>
  <si>
    <t>16.6.2.</t>
  </si>
  <si>
    <t>16.7.</t>
  </si>
  <si>
    <t>16.7.1.</t>
  </si>
  <si>
    <t>Licenčni seminarji</t>
  </si>
  <si>
    <t>19.2.4.</t>
  </si>
  <si>
    <t>19.2.5.</t>
  </si>
  <si>
    <t>19.2.6.</t>
  </si>
  <si>
    <t>19.2.7.</t>
  </si>
  <si>
    <t>19.2.8.</t>
  </si>
  <si>
    <t>19.2.9.</t>
  </si>
  <si>
    <t>19.2.10.</t>
  </si>
  <si>
    <t>19.2.11.</t>
  </si>
  <si>
    <t>19.2.12.</t>
  </si>
  <si>
    <t>19.2.13.</t>
  </si>
  <si>
    <t>19.2.14.</t>
  </si>
  <si>
    <t>19.2.15.</t>
  </si>
  <si>
    <t>19.3.6.</t>
  </si>
  <si>
    <t>19.3.7.</t>
  </si>
  <si>
    <t>19.3.8.</t>
  </si>
  <si>
    <t>19.3.9.</t>
  </si>
  <si>
    <t>19.3.10.</t>
  </si>
  <si>
    <t>19.3.11.</t>
  </si>
  <si>
    <t>19.3.12.</t>
  </si>
  <si>
    <t>19.3.13.</t>
  </si>
  <si>
    <t>19.3.14.</t>
  </si>
  <si>
    <t>19.3.15.</t>
  </si>
  <si>
    <t>rebalans
2014</t>
  </si>
  <si>
    <t>KONTROLA</t>
  </si>
  <si>
    <t xml:space="preserve">Projekti s področja prevent. dejavnosti </t>
  </si>
  <si>
    <t>skupščina UIAA</t>
  </si>
  <si>
    <t>Interne
knjižbe</t>
  </si>
  <si>
    <t>1 seja v J. Koreji</t>
  </si>
  <si>
    <t>Vzdrževanje objekta in amortizacija</t>
  </si>
  <si>
    <t>UIAA - mednarodno združenje pl. organizacij</t>
  </si>
  <si>
    <t>CAA - Združenje pl. organizacij alpskega loka</t>
  </si>
  <si>
    <t>BMU - Združenje pl. organizacij Balkana</t>
  </si>
  <si>
    <t>Ekološka in energetska sanacija pl. koč</t>
  </si>
  <si>
    <t>Slovenska reprezentanca v tekm. lednem plezanju</t>
  </si>
  <si>
    <t>Slovenska reprezentanca v tekm. turnem smučanju</t>
  </si>
  <si>
    <t>1.1.3.</t>
  </si>
  <si>
    <t>1.1.4.</t>
  </si>
  <si>
    <t>1.1.5.</t>
  </si>
  <si>
    <t>1.1.6.</t>
  </si>
  <si>
    <t>1.1.7.</t>
  </si>
  <si>
    <t>1.1.8.</t>
  </si>
  <si>
    <t>1.1.9.</t>
  </si>
  <si>
    <t>1.1.10.</t>
  </si>
  <si>
    <t>Osnovna sredstva</t>
  </si>
  <si>
    <t>8.4.</t>
  </si>
  <si>
    <t>SPLOŠNO</t>
  </si>
  <si>
    <t>Mobilna plezalna stena</t>
  </si>
  <si>
    <t xml:space="preserve">Kombi </t>
  </si>
  <si>
    <t>3.3.1.</t>
  </si>
  <si>
    <t>3.3.2.</t>
  </si>
  <si>
    <t>3.3.3.</t>
  </si>
  <si>
    <t>3.3.4.</t>
  </si>
  <si>
    <t>3.3.5.</t>
  </si>
  <si>
    <t>3.4.</t>
  </si>
  <si>
    <t>3.5.</t>
  </si>
  <si>
    <t>3.4.1.</t>
  </si>
  <si>
    <t>3.4.2.</t>
  </si>
  <si>
    <t>3.4.3.</t>
  </si>
  <si>
    <t>3.5.1.</t>
  </si>
  <si>
    <t>3.5.2.</t>
  </si>
  <si>
    <t>3.5.3.</t>
  </si>
  <si>
    <t>Informiranje</t>
  </si>
  <si>
    <t>3.6.2.</t>
  </si>
  <si>
    <t>3.7.3.</t>
  </si>
  <si>
    <t>Sodelovanje na sejmih</t>
  </si>
  <si>
    <t>Oglasi</t>
  </si>
  <si>
    <t>Podarjene edicije</t>
  </si>
  <si>
    <t>Reprezentanca</t>
  </si>
  <si>
    <t>Priznanja</t>
  </si>
  <si>
    <t>Tiskarske storitve</t>
  </si>
  <si>
    <t>Izdelava priznanj</t>
  </si>
  <si>
    <t>Mape za priznanja</t>
  </si>
  <si>
    <t>Jesenski posveti za PD</t>
  </si>
  <si>
    <t>Spomladanski posveti za PD</t>
  </si>
  <si>
    <t>3.6.</t>
  </si>
  <si>
    <t>3.6.1.</t>
  </si>
  <si>
    <t>3.6.3.</t>
  </si>
  <si>
    <t>3.6.4.</t>
  </si>
  <si>
    <t>3.7.</t>
  </si>
  <si>
    <t>3.7.1.</t>
  </si>
  <si>
    <t>3.7.2.</t>
  </si>
  <si>
    <t>3.7.4.</t>
  </si>
  <si>
    <t>3.7.5.</t>
  </si>
  <si>
    <t>Sprejemni izpit za tečaj kategorije A (Valvasorjev dom)</t>
  </si>
  <si>
    <t>Tečaj kategorija A (deljeni)</t>
  </si>
  <si>
    <t>Sprejemni izpit kategorije A (Dom na Zelenici 1)</t>
  </si>
  <si>
    <t>Sprejemni izpit kategorije A (Dom na Zelenici 2)</t>
  </si>
  <si>
    <t>Tečaj kategorija A (PUS Bavšica - I. izmena)</t>
  </si>
  <si>
    <t>Tečaj kategorija B (I. izmena)</t>
  </si>
  <si>
    <t>Tečaj kategorija B (II. izmena)</t>
  </si>
  <si>
    <t>Tečaj kategorija D (I. izmena)</t>
  </si>
  <si>
    <t>Tečaj kategorija D (II. izmena)</t>
  </si>
  <si>
    <t>Tečaj kategorija C</t>
  </si>
  <si>
    <t>Tečaj kategorija G</t>
  </si>
  <si>
    <t>Tečaj kategorija E</t>
  </si>
  <si>
    <t>Tečaj kategorija H</t>
  </si>
  <si>
    <t>19.3.16.</t>
  </si>
  <si>
    <t>19.3.17.</t>
  </si>
  <si>
    <t>19.3.18.</t>
  </si>
  <si>
    <t>19.3.19.</t>
  </si>
  <si>
    <t>19.3.20.</t>
  </si>
  <si>
    <t>19.3.21.</t>
  </si>
  <si>
    <t>19.3.22.</t>
  </si>
  <si>
    <t>19.3.23.</t>
  </si>
  <si>
    <t>19.3.24.</t>
  </si>
  <si>
    <t>19.3.25.</t>
  </si>
  <si>
    <t>19.3.26.</t>
  </si>
  <si>
    <t>19.3.27.</t>
  </si>
  <si>
    <t>19.3.28.</t>
  </si>
  <si>
    <t>19.3.29.</t>
  </si>
  <si>
    <t>19.3.30.</t>
  </si>
  <si>
    <t>19.3.31.</t>
  </si>
  <si>
    <t>19.3.32.</t>
  </si>
  <si>
    <t>19.3.33.</t>
  </si>
  <si>
    <t>Kopno izpopolnjevanje I (MDO PD Gorenjske, 1. sk.)</t>
  </si>
  <si>
    <t>Kopno izpopolnjevanje I (MDO PD Gorenjske, 2. sk.)</t>
  </si>
  <si>
    <t>Kopno izpopolnjevanje II (MDO Primorsko-Notranjske)</t>
  </si>
  <si>
    <t>Kopno izpopolnjevanje III (MDO PD Koroške, 1. sk.)</t>
  </si>
  <si>
    <t>Kopno izpopolnjevanje III (MDO PD Koroške, 2. sk.)</t>
  </si>
  <si>
    <t>Kopno izpopolnjevanje IV (MDO PD Dol. in B. krajine, 1. sk.)</t>
  </si>
  <si>
    <t>Kopno izpopolnjevanje IV (MDO PD Dol. in B. krajine, 2. sk.)</t>
  </si>
  <si>
    <t>Kopno izpopolnjevanje  V (Savinjski MDO PD, 1. sk.)</t>
  </si>
  <si>
    <t>Kopno izpopolnjevanje  V (Savinjski MDO PD, 2. sk.)</t>
  </si>
  <si>
    <t>Kopno izpopolnjevanje VI (MDO PD Ljubljane,  1. sk.)</t>
  </si>
  <si>
    <t>Kopno izpopolnjevanje VI (MDO PD Ljubljane,  2. sk.)</t>
  </si>
  <si>
    <t>Kopno izpopolnjevanje VII (MDO PD Podravja, 1. sk.)</t>
  </si>
  <si>
    <t>Kopno izpopolnjevanje VII (MDO PD Podravja, 2. sk.)</t>
  </si>
  <si>
    <t>Kopno izpopolnjevanje IX (MDO PD Zasavja, 1. sk.)</t>
  </si>
  <si>
    <t>Kopno izpopolnjevanje IX (MDO PD Zasavja, 2. sk.)</t>
  </si>
  <si>
    <t>Kopno izpopolnjevanje VIII (MDO PD Podravja, 1. sk.)</t>
  </si>
  <si>
    <t>Kopno izpopolnjevanje VIII (MDO PD Podravja, 2. sk.)</t>
  </si>
  <si>
    <t>Kopno izpopolnjevanje X (MDO PD Posočja)</t>
  </si>
  <si>
    <t>Kopno izpopolnjevanje XI (MDO PD Notranjske)</t>
  </si>
  <si>
    <t>Kopno izpopolnjevanje XII (MDO PD Podravja, 1. sk.)</t>
  </si>
  <si>
    <t>Kopno izpopolnjevanje XII (MDO PD Podravja, 2. sk.)</t>
  </si>
  <si>
    <t>Kopno izpopolnjevanje  XIII (republiško - OU VK PZS)</t>
  </si>
  <si>
    <t>Kopno izpopolnjevanje XIV (republiško - OU VK PZS)</t>
  </si>
  <si>
    <t>Snežno izpopolnjevanje I (Savinjski MDO PD, 1. sk.)</t>
  </si>
  <si>
    <t>Snežno izpopolnjevanje I (Savinjski MDO PD, 2. sk.)</t>
  </si>
  <si>
    <t>Snežno izpopolnjevanje II (MDO PD Podravja, 1. sk.)</t>
  </si>
  <si>
    <t>Snežno izpopolnjevanje II (MDO PD Podravja, 2. sk.)</t>
  </si>
  <si>
    <t>Snežno izpopolnjevanje III (MDO PD Gorenjske, 1. sk.)</t>
  </si>
  <si>
    <t>Snežno izpopolnjevanje III (MDO PD Gorenjske. 2. sk.)</t>
  </si>
  <si>
    <t>Snežno izpopolnjevanje IV (MDO PD Koroške, 1. sk.)</t>
  </si>
  <si>
    <t>Snežno izpopolnjevanje IV (MDO PD Koroške, 2. sk.)</t>
  </si>
  <si>
    <t>Tečaj kategorija A (PUS Bavšica - II. izmena)</t>
  </si>
  <si>
    <t>Priznanja komisije</t>
  </si>
  <si>
    <t>Licenčna usposabljanja</t>
  </si>
  <si>
    <t>14.2.4.</t>
  </si>
  <si>
    <t>14.2.5.</t>
  </si>
  <si>
    <t>14.2.6.</t>
  </si>
  <si>
    <t>14.2.7.</t>
  </si>
  <si>
    <t>11.2.4.</t>
  </si>
  <si>
    <t>8.1.4.</t>
  </si>
  <si>
    <t>8.1.5.</t>
  </si>
  <si>
    <t>8.2.1.</t>
  </si>
  <si>
    <t>8.2.2.</t>
  </si>
  <si>
    <t>8.2.3.</t>
  </si>
  <si>
    <t>8.2.4.</t>
  </si>
  <si>
    <t>8.2.5.</t>
  </si>
  <si>
    <t>8.2.6.</t>
  </si>
  <si>
    <t>8.2.7.</t>
  </si>
  <si>
    <t>8.2.8.</t>
  </si>
  <si>
    <t>8.2.9.</t>
  </si>
  <si>
    <t>8.2.10.</t>
  </si>
  <si>
    <t>8.3.1.</t>
  </si>
  <si>
    <t>8.3.2.</t>
  </si>
  <si>
    <t>8.4.1.</t>
  </si>
  <si>
    <t>8.4.2.</t>
  </si>
  <si>
    <t xml:space="preserve">Usposabljanje </t>
  </si>
  <si>
    <t>Zavarovanje strokovnih kadrov</t>
  </si>
  <si>
    <t>1.000 izvodov</t>
  </si>
  <si>
    <t>5.000 izvodov</t>
  </si>
  <si>
    <t>Grintovci 1:25 000</t>
  </si>
  <si>
    <t>TNP 1:50 000</t>
  </si>
  <si>
    <t>Bohinj 1:25 000</t>
  </si>
  <si>
    <t>Stol ali Triglav 1:25 000 ali Pos. hrib.-zahod ali Karavanke 1:50 000</t>
  </si>
  <si>
    <t>Slovenska Istra, Čičarija, Brkini in Kras</t>
  </si>
  <si>
    <t>Vodnik za zimsko pohodništvo</t>
  </si>
  <si>
    <t>Plezalni vodnik Kamniška Bela, Repov Kot</t>
  </si>
  <si>
    <t>3.500 izvodov</t>
  </si>
  <si>
    <t>2.200 izvodov</t>
  </si>
  <si>
    <t>150 izvodov</t>
  </si>
  <si>
    <t>Dnevnik s slov. pl. poti</t>
  </si>
  <si>
    <t>Planinski dnevnik</t>
  </si>
  <si>
    <t>600 izvodov</t>
  </si>
  <si>
    <t>Planinska šola</t>
  </si>
  <si>
    <t>Planinski zabavnik</t>
  </si>
  <si>
    <t>Meritve učinkovitosti malih čistilnih naprav</t>
  </si>
  <si>
    <t>Licenčni seminar za alpinistične inštruktorje</t>
  </si>
  <si>
    <t>strošek skupščine za reciprociteto</t>
  </si>
  <si>
    <t>13.3.3.</t>
  </si>
  <si>
    <t>13.2.4.</t>
  </si>
  <si>
    <t>13.4.5.</t>
  </si>
  <si>
    <t>Zgibanka</t>
  </si>
  <si>
    <t>Nastopi in treningi po planu selektorja</t>
  </si>
  <si>
    <t>Izpiti športrni plezalci</t>
  </si>
  <si>
    <t>Seminar in izpiti inštruktorji in vaditelji</t>
  </si>
  <si>
    <t>Postavljalci, licenčni seminar</t>
  </si>
  <si>
    <t>Razglasitev najuspešnejših šp.plezalcev</t>
  </si>
  <si>
    <t>Državno prvenstvo RS</t>
  </si>
  <si>
    <t>Svetovni pokal Kranj</t>
  </si>
  <si>
    <t>Tisk pri nakladi 4400 kos/mesec</t>
  </si>
  <si>
    <t>Poštnina pri pošiljanju 3550 kosov</t>
  </si>
  <si>
    <t>Avtorski honorar - odgovorni urednik</t>
  </si>
  <si>
    <t>Avtorski honorar - ostali uredniški odbor 10 članov</t>
  </si>
  <si>
    <t>Avtorski honorar - avtorji</t>
  </si>
  <si>
    <t>Stroški proste prodaje</t>
  </si>
  <si>
    <t>Sofinanciranje zimovanj</t>
  </si>
  <si>
    <t>Mednarodna dejavnost</t>
  </si>
  <si>
    <t>Izleti za študente</t>
  </si>
  <si>
    <t>Nagrade PŠ, Cici in Ml. planinec</t>
  </si>
  <si>
    <t>14.4.6.</t>
  </si>
  <si>
    <t>Tekmovanja Mladina in gore</t>
  </si>
  <si>
    <t>Nagrade POT</t>
  </si>
  <si>
    <t>Planinski kažipot (tisk in poštnina)</t>
  </si>
  <si>
    <t>ODHODKI 2015</t>
  </si>
  <si>
    <t>PRIHODKI 2015</t>
  </si>
  <si>
    <t>Urad za mladino</t>
  </si>
  <si>
    <t>Donacije</t>
  </si>
  <si>
    <t>strošek vključen v SM 5</t>
  </si>
  <si>
    <t>Svetovalna pisarna in certifikati</t>
  </si>
  <si>
    <t>Certifikat "Družinam prijazna pl. koča"</t>
  </si>
  <si>
    <t>Konferenca planinskega gospodarstva</t>
  </si>
  <si>
    <t>Razpis za PD za sofinanciranje stroškov projektne dokumentacije za ekološko in energetsko sanacijo</t>
  </si>
  <si>
    <t>Rezervacijski sistem CAA</t>
  </si>
  <si>
    <t>Dan slovenskih markacistov</t>
  </si>
  <si>
    <t>Povračilo kilometrine v državi</t>
  </si>
  <si>
    <r>
      <t xml:space="preserve">Planinski vestnik </t>
    </r>
    <r>
      <rPr>
        <b/>
        <sz val="10"/>
        <color theme="1"/>
        <rFont val="Calibri"/>
        <family val="2"/>
        <charset val="238"/>
        <scheme val="minor"/>
      </rPr>
      <t>(št. nar. 3550 / št. izv. 4400)</t>
    </r>
  </si>
  <si>
    <t>3.8.1.</t>
  </si>
  <si>
    <t>3.8.2.</t>
  </si>
  <si>
    <t>strošek vključen v SM 3.4.1.</t>
  </si>
  <si>
    <t>strošek vključen v SM 3.4.2.</t>
  </si>
  <si>
    <t>strošek vključen v SM 13.4.2.</t>
  </si>
  <si>
    <t>strošek vključen v SM 15.3.1.</t>
  </si>
  <si>
    <t>strošek vključen v SM 15.3.2.</t>
  </si>
  <si>
    <t xml:space="preserve">Ostalo </t>
  </si>
  <si>
    <t>Hrana</t>
  </si>
  <si>
    <t>Stroški materiala in storitev</t>
  </si>
  <si>
    <t>Stroški dela - kuharji</t>
  </si>
  <si>
    <t>Stroški dela - oskrbnik</t>
  </si>
  <si>
    <t>Stroški dela - gospodar</t>
  </si>
  <si>
    <t>Plin</t>
  </si>
  <si>
    <t>Elektrika</t>
  </si>
  <si>
    <t>Komunala</t>
  </si>
  <si>
    <t>Zavarovanje objekta</t>
  </si>
  <si>
    <t>Čiščenje</t>
  </si>
  <si>
    <t xml:space="preserve">Potni stroški </t>
  </si>
  <si>
    <t>Telefon</t>
  </si>
  <si>
    <t>7.1.6.</t>
  </si>
  <si>
    <t>7.1.7.</t>
  </si>
  <si>
    <t>7.1.8.</t>
  </si>
  <si>
    <t>7.1.9.</t>
  </si>
  <si>
    <t>7.1.10.</t>
  </si>
  <si>
    <t>7.1.11.</t>
  </si>
  <si>
    <t>7.1.12.</t>
  </si>
  <si>
    <t>2 št. - Obvestila in Letopis</t>
  </si>
  <si>
    <t>Gorivo</t>
  </si>
  <si>
    <t>Servis, menjava gum</t>
  </si>
  <si>
    <t>Zavarovanje</t>
  </si>
  <si>
    <t>Prevozi</t>
  </si>
  <si>
    <t>Najem prostora</t>
  </si>
  <si>
    <t>Honorarji po pogodbah</t>
  </si>
  <si>
    <t>Tisk, dotisk</t>
  </si>
  <si>
    <t>Oblikovanje</t>
  </si>
  <si>
    <t xml:space="preserve">Distribucija </t>
  </si>
  <si>
    <t>bivša zal in koledar skupaj</t>
  </si>
  <si>
    <t>Akcije SMAR</t>
  </si>
  <si>
    <t>Selektor po pogodbi</t>
  </si>
  <si>
    <t>Kategorizacija, kvalitetni vzponi (MR, PR)</t>
  </si>
  <si>
    <t>Tabor družin</t>
  </si>
  <si>
    <t>Stroški materiala za dejavnost</t>
  </si>
  <si>
    <t>Stroški energije</t>
  </si>
  <si>
    <t>Drobni inventar</t>
  </si>
  <si>
    <t>Pisarniški material in strokovna literatura</t>
  </si>
  <si>
    <t>Stroški telefonskih storitev</t>
  </si>
  <si>
    <t>Stroški poštnine</t>
  </si>
  <si>
    <t>Študentsko delo</t>
  </si>
  <si>
    <t>Članarine, dajatve in pristojbine</t>
  </si>
  <si>
    <t>Stroški komunalnih storitev, čiščenja in varovanja</t>
  </si>
  <si>
    <t>Stroški storitev vzdrževanja opreme in stavbe</t>
  </si>
  <si>
    <t>Stroški plačilnega prometa in zavarovanja</t>
  </si>
  <si>
    <t>Povračila stroškov fizičnim osebam</t>
  </si>
  <si>
    <t>14.6.</t>
  </si>
  <si>
    <t xml:space="preserve">Amortizacija </t>
  </si>
  <si>
    <t>Stroški najema opreme (fotokopirni stroj, pos)</t>
  </si>
  <si>
    <t>priložnosti mladih</t>
  </si>
  <si>
    <t>Pisarniški in potrošni material</t>
  </si>
  <si>
    <t>Turno kolesarski vodnik 1</t>
  </si>
  <si>
    <t>Turno kolesarski vodnik 2</t>
  </si>
  <si>
    <t>14.4.7.</t>
  </si>
  <si>
    <t>Zavarovalna premija - reševanje v tujini z asistenco</t>
  </si>
  <si>
    <t>9.3.4.</t>
  </si>
  <si>
    <t>4.11.4.</t>
  </si>
  <si>
    <t>Ostalo (Alpriročnik, spletna stran, registracija, mat. str.)</t>
  </si>
  <si>
    <t>3.2.6.</t>
  </si>
  <si>
    <t>3.8.</t>
  </si>
  <si>
    <t>Vodnik Julijske Alpe</t>
  </si>
  <si>
    <t>Nakup opreme (hladilnik)</t>
  </si>
  <si>
    <t>11.3.4.</t>
  </si>
  <si>
    <t>11.3.5.</t>
  </si>
  <si>
    <t>11.3.6.</t>
  </si>
  <si>
    <r>
      <t>Poraba
2014 (</t>
    </r>
    <r>
      <rPr>
        <b/>
        <u/>
        <sz val="11"/>
        <color theme="1"/>
        <rFont val="Calibri"/>
        <family val="2"/>
        <charset val="238"/>
        <scheme val="minor"/>
      </rPr>
      <t>delna</t>
    </r>
    <r>
      <rPr>
        <b/>
        <sz val="11"/>
        <color theme="1"/>
        <rFont val="Calibri"/>
        <family val="2"/>
        <charset val="238"/>
        <scheme val="minor"/>
      </rPr>
      <t>)</t>
    </r>
  </si>
  <si>
    <t>Index
rebalans/delna poraba</t>
  </si>
  <si>
    <t>3.4.4.</t>
  </si>
  <si>
    <t>3.6.5.</t>
  </si>
  <si>
    <t>v Bolgariji</t>
  </si>
  <si>
    <t>v BIH</t>
  </si>
  <si>
    <t>pooblastilo predst. GRZS</t>
  </si>
  <si>
    <t>PZS gostitelj srečanja</t>
  </si>
  <si>
    <t>7.2.3.</t>
  </si>
  <si>
    <t>11.5.1.</t>
  </si>
  <si>
    <t>11.5.2.</t>
  </si>
  <si>
    <t>11.5.3.</t>
  </si>
  <si>
    <t>Promocijski letaki za pl. koče</t>
  </si>
  <si>
    <t>Državno prvenstvo osnovnih šol</t>
  </si>
  <si>
    <t>Državno prvenstvo srednjih šol</t>
  </si>
  <si>
    <t>3.9.</t>
  </si>
  <si>
    <t>3.9.1.</t>
  </si>
  <si>
    <t>3.9.2.</t>
  </si>
  <si>
    <t>3.9.3.</t>
  </si>
  <si>
    <t>Razvojni projekti MDO PD</t>
  </si>
  <si>
    <t>Odnosi z javnostmi</t>
  </si>
  <si>
    <t>Razpis za sofinan projektne dok. za ekol. in energ. sanacijo</t>
  </si>
  <si>
    <t xml:space="preserve">Zavarovanje strokovnih kadrov </t>
  </si>
  <si>
    <t>Usklajevanje inštruktorjev PV</t>
  </si>
  <si>
    <t>Slovenska turno kolesarska pot</t>
  </si>
  <si>
    <t>Alpski festival Praga</t>
  </si>
  <si>
    <t>Vpisna knjiga za planinske koče</t>
  </si>
  <si>
    <t xml:space="preserve">Ponatisi </t>
  </si>
  <si>
    <t>Stroški usposabljanj (seminar MPS)</t>
  </si>
  <si>
    <t xml:space="preserve">Mednarodno srečanje alpinistov </t>
  </si>
  <si>
    <t>Alpinistične odprave (razpis)</t>
  </si>
  <si>
    <t>Planinski spomeniki</t>
  </si>
  <si>
    <t>Kugyjev spomenik v Trenti</t>
  </si>
  <si>
    <t>Aljažev stolp na Triglavu</t>
  </si>
  <si>
    <t>10.5.3.</t>
  </si>
  <si>
    <t>10.10.1.</t>
  </si>
  <si>
    <t>10.22.</t>
  </si>
  <si>
    <t>9.3.5.</t>
  </si>
  <si>
    <t>6.7.8.</t>
  </si>
  <si>
    <t xml:space="preserve">Seja raziskovalne skupine </t>
  </si>
  <si>
    <t>PRIHODKI 2015 JANUAR - APRIL</t>
  </si>
  <si>
    <t>15.4.4.</t>
  </si>
  <si>
    <t>15.4.9.</t>
  </si>
  <si>
    <t>Slovenska planinska pot</t>
  </si>
  <si>
    <t>3.10.</t>
  </si>
  <si>
    <t>3.10.1.</t>
  </si>
  <si>
    <t>mreže nvo</t>
  </si>
  <si>
    <t xml:space="preserve">Materialni stroški </t>
  </si>
  <si>
    <t>Hrvaška literatura</t>
  </si>
  <si>
    <t>zavarovanje ss, zdravniški pregledi</t>
  </si>
  <si>
    <t>SKUPAJ PRIHODKI</t>
  </si>
  <si>
    <t>NAČRT 2015: ODHODKI 2015</t>
  </si>
  <si>
    <t>NAČRT 2015: PRIHODKI 2015</t>
  </si>
  <si>
    <t>REBALANS 2015</t>
  </si>
  <si>
    <t>POROČILO JANUAR - APRIL 2015</t>
  </si>
  <si>
    <t>Plezališča Slovenije</t>
  </si>
  <si>
    <t>1.1.19.</t>
  </si>
  <si>
    <t>1.2.9.</t>
  </si>
  <si>
    <t>2.1.9.</t>
  </si>
  <si>
    <t>2.2.9.</t>
  </si>
  <si>
    <t>2.4.9.</t>
  </si>
  <si>
    <t>3.1.9.</t>
  </si>
  <si>
    <t>3.2.9.</t>
  </si>
  <si>
    <t>3.3.9.</t>
  </si>
  <si>
    <t>3.4.9.</t>
  </si>
  <si>
    <t>3.5.9.</t>
  </si>
  <si>
    <t>3.6.9.</t>
  </si>
  <si>
    <t>3.7.9.</t>
  </si>
  <si>
    <t>3.8.9.</t>
  </si>
  <si>
    <t>3.9.9.</t>
  </si>
  <si>
    <t>Mreže NVO</t>
  </si>
  <si>
    <t>4.1.9.</t>
  </si>
  <si>
    <t>4.2.9.</t>
  </si>
  <si>
    <t>4.3.9.</t>
  </si>
  <si>
    <t>4.4.9.</t>
  </si>
  <si>
    <t>4.5.9.</t>
  </si>
  <si>
    <t>4.6.9.</t>
  </si>
  <si>
    <t>4.7.9.</t>
  </si>
  <si>
    <t>4.8.9.</t>
  </si>
  <si>
    <t>4.10.5.</t>
  </si>
  <si>
    <t>4.10.6.</t>
  </si>
  <si>
    <t>4.10.7.</t>
  </si>
  <si>
    <t>4.10.8.</t>
  </si>
  <si>
    <t>4.10.9.</t>
  </si>
  <si>
    <t>4.10.19.</t>
  </si>
  <si>
    <t>4.11.9.</t>
  </si>
  <si>
    <t>4.12.</t>
  </si>
  <si>
    <t>4.12.1.</t>
  </si>
  <si>
    <t>4.12.2.</t>
  </si>
  <si>
    <t>4.12.3.</t>
  </si>
  <si>
    <t>4.12.9.</t>
  </si>
  <si>
    <t>5.2.9.</t>
  </si>
  <si>
    <t>5.3.3.</t>
  </si>
  <si>
    <t>5.3.9.</t>
  </si>
  <si>
    <t>5.4.</t>
  </si>
  <si>
    <t>5.4.1.</t>
  </si>
  <si>
    <t>5.4.2.</t>
  </si>
  <si>
    <t>Vodnik Julijske Alpe - Janša</t>
  </si>
  <si>
    <t>Vodnik Julijske Alpe - Drab</t>
  </si>
  <si>
    <t>6.2.9.</t>
  </si>
  <si>
    <t>6.4.9.</t>
  </si>
  <si>
    <t>Zgodovina Slovenskega planinstva</t>
  </si>
  <si>
    <t>6.5.9.</t>
  </si>
  <si>
    <t>6.6.9.</t>
  </si>
  <si>
    <t>6.7.6.</t>
  </si>
  <si>
    <t>Karte Kompas</t>
  </si>
  <si>
    <t>6.7.7.</t>
  </si>
  <si>
    <t>Rt-tri-Podium</t>
  </si>
  <si>
    <t>6.7.9.</t>
  </si>
  <si>
    <t>Alpe kot jih vidijo ptice</t>
  </si>
  <si>
    <t>6.7.10.</t>
  </si>
  <si>
    <t>Gorski škrat te vabi</t>
  </si>
  <si>
    <t>6.8.1.</t>
  </si>
  <si>
    <t>6.8.2.</t>
  </si>
  <si>
    <t>6.8.3.</t>
  </si>
  <si>
    <t>Sejmi</t>
  </si>
  <si>
    <t>6.8.9.</t>
  </si>
  <si>
    <t>7.1.19.</t>
  </si>
  <si>
    <t>7.2.9.</t>
  </si>
  <si>
    <t>8.1.9.</t>
  </si>
  <si>
    <t>8.2.19.</t>
  </si>
  <si>
    <t>10.2.9.</t>
  </si>
  <si>
    <t>10.3.9.</t>
  </si>
  <si>
    <t>10.4.</t>
  </si>
  <si>
    <t>10.4.9.</t>
  </si>
  <si>
    <t>10.5.</t>
  </si>
  <si>
    <t>10.5.9.</t>
  </si>
  <si>
    <t>10.6.9.</t>
  </si>
  <si>
    <t>10.7.1.</t>
  </si>
  <si>
    <t>10.7.9.</t>
  </si>
  <si>
    <t>10.8.9.</t>
  </si>
  <si>
    <t>10.9.9.</t>
  </si>
  <si>
    <t>10.10.2.</t>
  </si>
  <si>
    <t>10.10.3.</t>
  </si>
  <si>
    <t>10.10.9.</t>
  </si>
  <si>
    <t>11.1.9.</t>
  </si>
  <si>
    <t>11.2.9.</t>
  </si>
  <si>
    <t>11.3.9.</t>
  </si>
  <si>
    <t>11.5.9.</t>
  </si>
  <si>
    <t>12.1.9.</t>
  </si>
  <si>
    <t>12.2.9.</t>
  </si>
  <si>
    <t>12.3.9.</t>
  </si>
  <si>
    <t>12.4.9.</t>
  </si>
  <si>
    <t>SP - turno smučanje</t>
  </si>
  <si>
    <t>12.5.9.</t>
  </si>
  <si>
    <t>12.6.</t>
  </si>
  <si>
    <t>12.6.1.</t>
  </si>
  <si>
    <t>13.1.9.</t>
  </si>
  <si>
    <t>13.2.9.</t>
  </si>
  <si>
    <t>13.4.9.</t>
  </si>
  <si>
    <t xml:space="preserve">Promocijske aktivnosti plan. koč na sejmih </t>
  </si>
  <si>
    <t>14.1.9.</t>
  </si>
  <si>
    <t>14.2.9.</t>
  </si>
  <si>
    <t>14.3.9.</t>
  </si>
  <si>
    <t>14.4.9.</t>
  </si>
  <si>
    <t>14.5.2.</t>
  </si>
  <si>
    <t>14.5.3.</t>
  </si>
  <si>
    <t>14.5.9.</t>
  </si>
  <si>
    <t>14.6.1.</t>
  </si>
  <si>
    <t>15.1.9.</t>
  </si>
  <si>
    <t>Tečaj za markaciste</t>
  </si>
  <si>
    <t>Licenčno izpopolnjevanje za markaciste</t>
  </si>
  <si>
    <t>Zaključni tečaj za markaciste</t>
  </si>
  <si>
    <t>15.2.9.</t>
  </si>
  <si>
    <t>Delovna akcija Lisca</t>
  </si>
  <si>
    <t>15.3.4.</t>
  </si>
  <si>
    <t>Druge delovne akcije</t>
  </si>
  <si>
    <t>15.3.5.</t>
  </si>
  <si>
    <t>Druge smerne table</t>
  </si>
  <si>
    <t>15.3.9.</t>
  </si>
  <si>
    <t>16.1.9.</t>
  </si>
  <si>
    <t>16.3.9.</t>
  </si>
  <si>
    <t>16.4.9.</t>
  </si>
  <si>
    <t>16.5.9.</t>
  </si>
  <si>
    <t>16.6.9.</t>
  </si>
  <si>
    <t>17.1.9.</t>
  </si>
  <si>
    <t>17.2.9.</t>
  </si>
  <si>
    <t>17.3.9.</t>
  </si>
  <si>
    <t>17.4.9.</t>
  </si>
  <si>
    <t>18.1.9.</t>
  </si>
  <si>
    <t>18.2.9.</t>
  </si>
  <si>
    <t>Izpopolnjevanje za vgn</t>
  </si>
  <si>
    <t>18.3.9.</t>
  </si>
  <si>
    <t>18.4.9.</t>
  </si>
  <si>
    <t>19.1.9.</t>
  </si>
  <si>
    <t>19.2.0.</t>
  </si>
  <si>
    <t>Usposabljanje skupni stroški</t>
  </si>
  <si>
    <t>19.2.19.</t>
  </si>
  <si>
    <t>19.3.0.</t>
  </si>
  <si>
    <t>Licenčni seminarji skupni stroški</t>
  </si>
  <si>
    <t>19.4.9.</t>
  </si>
  <si>
    <t>odhodki</t>
  </si>
  <si>
    <t>reb/načrt</t>
  </si>
  <si>
    <t>prihodki</t>
  </si>
  <si>
    <t>poroč/načrt</t>
  </si>
  <si>
    <t xml:space="preserve">Druge smerne table </t>
  </si>
  <si>
    <t>Zavarovalne premije - nezgodno, reševanje</t>
  </si>
  <si>
    <t>Stroški drugih zunanjih storitev</t>
  </si>
  <si>
    <t>Triglav 1:25 000</t>
  </si>
  <si>
    <t xml:space="preserve">Stol 1:25 000 </t>
  </si>
  <si>
    <t>6.1.6.</t>
  </si>
  <si>
    <t>6.1.7.</t>
  </si>
  <si>
    <t>6.1.8.</t>
  </si>
  <si>
    <t>6.1.9.</t>
  </si>
  <si>
    <t>Jalovec 1:25 000</t>
  </si>
  <si>
    <t>KSA 1:50 000</t>
  </si>
  <si>
    <t>Karavanke 1:50 000</t>
  </si>
  <si>
    <t>6.2.6.</t>
  </si>
  <si>
    <t>Plezalni vodnik Vršič (ponatis 100 kosov)</t>
  </si>
  <si>
    <t>Edicije ostalo</t>
  </si>
  <si>
    <t>Izdelki iz zaloge</t>
  </si>
  <si>
    <t>Začetni alpinistični tečaj v kopnih razmerah</t>
  </si>
  <si>
    <t>16.2.4.</t>
  </si>
  <si>
    <t>120-letnica PV</t>
  </si>
  <si>
    <t>3.1.5.</t>
  </si>
  <si>
    <t>120-letnica Aljaževega stolpa</t>
  </si>
  <si>
    <t xml:space="preserve">Planinski vestnik </t>
  </si>
  <si>
    <t>Izdelki HPS in Kompas</t>
  </si>
  <si>
    <t>Izpiti športni plezalci</t>
  </si>
  <si>
    <t>Seminar plezanje v šoli</t>
  </si>
  <si>
    <t xml:space="preserve">Mednarodna dejavnost </t>
  </si>
  <si>
    <t xml:space="preserve">Sofinanciranje pl. taborov (razpis za PD) </t>
  </si>
  <si>
    <t xml:space="preserve">Sofinanciranje zimovanj </t>
  </si>
  <si>
    <t>seminar za inštruktorje BMU</t>
  </si>
  <si>
    <t xml:space="preserve">Tisk </t>
  </si>
  <si>
    <t xml:space="preserve">Poštnina pri pošiljanju </t>
  </si>
  <si>
    <t>Opis stroškovnih mest (SM)</t>
  </si>
  <si>
    <t>Mreža nevladnih organizacij za rekreacijo v naravi</t>
  </si>
  <si>
    <t>Donacije za praporje in zbornike društev</t>
  </si>
  <si>
    <t>10.4.5.</t>
  </si>
  <si>
    <t>Seje Odbora za založništvo in informiranje</t>
  </si>
  <si>
    <t>Slovenski pokal v turnem smučanju</t>
  </si>
  <si>
    <t>4.3.3.</t>
  </si>
  <si>
    <t>9.3.9.</t>
  </si>
  <si>
    <t xml:space="preserve">Drugo </t>
  </si>
  <si>
    <t>Zemljevidi PZS in GDL</t>
  </si>
  <si>
    <t>6.7.11.</t>
  </si>
  <si>
    <t>Edicije Avrora</t>
  </si>
  <si>
    <t>Julijske Alpe, južni del (Poljanec)</t>
  </si>
  <si>
    <t>Slovenska Istra, Čičarija, Brkini in Kras (Vinčec)</t>
  </si>
  <si>
    <t>Vodnik za zimsko pohodništvo (Gorišek)</t>
  </si>
  <si>
    <t>Slovenske vertikale (Grmovšek, Morojna)</t>
  </si>
  <si>
    <t>Počitnice na nogah, Krk (Gorišek)</t>
  </si>
  <si>
    <t>Planinski zabavnik 2</t>
  </si>
  <si>
    <t>Vodnik Bovec</t>
  </si>
  <si>
    <t>Vpisna knjiga za vrhove</t>
  </si>
  <si>
    <t>Vodnik razširjena SPP - ponatis</t>
  </si>
  <si>
    <t>Krn 1:25000</t>
  </si>
  <si>
    <t>Storžič-Košuta 1:25000</t>
  </si>
  <si>
    <t>Ljubljana in okolica 1:50000</t>
  </si>
  <si>
    <t>Izpopolnjevanje za vaditelje orientacije</t>
  </si>
  <si>
    <t>14.2.8.</t>
  </si>
  <si>
    <t>Tečaj orientacije</t>
  </si>
  <si>
    <t>Zimska planinska šola</t>
  </si>
  <si>
    <t>14.2.10.</t>
  </si>
  <si>
    <t>Tečaj gibanja po zahtevnih in zelo zahtevnih poteh</t>
  </si>
  <si>
    <t>14.2.19.</t>
  </si>
  <si>
    <t>Sofinanciranje srečanj mladih planincev</t>
  </si>
  <si>
    <t>60-letnica MK</t>
  </si>
  <si>
    <t>Izleti in tabor za študente</t>
  </si>
  <si>
    <t>14.4.8.</t>
  </si>
  <si>
    <t>Delovna akcija v PUS Bavšica</t>
  </si>
  <si>
    <t>Motivacijski vikend</t>
  </si>
  <si>
    <t>14.4.10.</t>
  </si>
  <si>
    <t>14.4.19.</t>
  </si>
  <si>
    <t>POT - lige</t>
  </si>
  <si>
    <t>Tečaj kategorija A (deljeni) 2015</t>
  </si>
  <si>
    <t xml:space="preserve">Tečaj kategorija C </t>
  </si>
  <si>
    <t xml:space="preserve">Tečaj kategorija H </t>
  </si>
  <si>
    <t>19.2.16.</t>
  </si>
  <si>
    <t>19.2.17.</t>
  </si>
  <si>
    <t>19.2.18.</t>
  </si>
  <si>
    <t xml:space="preserve">Tečaj kategorija A (deljeni) </t>
  </si>
  <si>
    <t>Tečaj kategorija A (PUS Bavšica, 1. izmena)</t>
  </si>
  <si>
    <t xml:space="preserve">Tečaj kategorija A (PUS Bavšica - II. izmena) </t>
  </si>
  <si>
    <t xml:space="preserve">Tečaj kategorija B (I. izmena) </t>
  </si>
  <si>
    <t xml:space="preserve">Tečaj kategorija B (II. izmena) </t>
  </si>
  <si>
    <t>Tečaj kategorija A (PUS Bavšica, 2. izmena)</t>
  </si>
  <si>
    <t>Tečaj kategorija B (1. izmena)</t>
  </si>
  <si>
    <t>Tečaj kategorija B (2. izmena)</t>
  </si>
  <si>
    <t>19.2.29.</t>
  </si>
  <si>
    <t>19.3.34.</t>
  </si>
  <si>
    <t>19.3.35.</t>
  </si>
  <si>
    <t>19.3.36.</t>
  </si>
  <si>
    <t>19.3.37.</t>
  </si>
  <si>
    <t>19.3.38.</t>
  </si>
  <si>
    <t>19.3.39.</t>
  </si>
  <si>
    <t>19.3.40.</t>
  </si>
  <si>
    <t>19.3.41.</t>
  </si>
  <si>
    <t>19.3.42.</t>
  </si>
  <si>
    <t>19.3.43.</t>
  </si>
  <si>
    <t>19.3.44.</t>
  </si>
  <si>
    <t>19.3.45.</t>
  </si>
  <si>
    <t>19.3.46.</t>
  </si>
  <si>
    <t>19.3.47.</t>
  </si>
  <si>
    <t>Snežno izpopolnjevanje Savinjski MDO PD</t>
  </si>
  <si>
    <t>Snežno izpopolnjevanje MDO PD Podravja</t>
  </si>
  <si>
    <t>Snežno izpopolnjevanje MDO PD Gorenjske</t>
  </si>
  <si>
    <t>Snežno izpopolnjevanje MDO PD Koroške</t>
  </si>
  <si>
    <t>Kopno izpopolnjevanje MDO PD Gorenjske</t>
  </si>
  <si>
    <t>Kopno izpopolnjevanje MDO PD Primorske</t>
  </si>
  <si>
    <t>Kopno izpopolnjevanje MDO PD Koroške</t>
  </si>
  <si>
    <t>Kopno izpopolnjevanje MDO PD Dolenjske in Bele krajine</t>
  </si>
  <si>
    <t xml:space="preserve">Kopno izpopolnjevanje Savinjski MDO PD </t>
  </si>
  <si>
    <t>Kopno izpopolnjevanje MDO PD Ljubljane</t>
  </si>
  <si>
    <t>Kopno izpopolnjevanje MDO PD Podravja</t>
  </si>
  <si>
    <t>Kopno izpopolnjevanje MDO PD Zasavja</t>
  </si>
  <si>
    <t>Kopno izpopolnjevanje MDO PD Notranjske</t>
  </si>
  <si>
    <t>Kopno izpopolnjevanje MDO PD Posočja</t>
  </si>
  <si>
    <t>Kopno izpopolnjevanje MDO PD republiško - SOU VK PZS</t>
  </si>
  <si>
    <t>19.3.49.</t>
  </si>
  <si>
    <t>Dnevnik s slov. pl. poti - ponatis</t>
  </si>
  <si>
    <t>6.1.10.</t>
  </si>
  <si>
    <t>6.1.11.</t>
  </si>
  <si>
    <t>6.1.12.</t>
  </si>
  <si>
    <t>6.1.19.</t>
  </si>
  <si>
    <t>6.2.7.</t>
  </si>
  <si>
    <t>6.2.8.</t>
  </si>
  <si>
    <t>6.2.10.</t>
  </si>
  <si>
    <t>6.2.11.</t>
  </si>
  <si>
    <t>6.2.12.</t>
  </si>
  <si>
    <t>6.2.19.</t>
  </si>
  <si>
    <t>6.3.4.</t>
  </si>
  <si>
    <t>6.3.5.</t>
  </si>
  <si>
    <t>Sodelovanje na sejmih v Sloveniji</t>
  </si>
  <si>
    <t>3.10.2.</t>
  </si>
  <si>
    <t>Erazmus +</t>
  </si>
  <si>
    <t>3.10.3.</t>
  </si>
  <si>
    <t>Polnilnica za el. vozila</t>
  </si>
  <si>
    <t>3.11.</t>
  </si>
  <si>
    <t>3.11.1.</t>
  </si>
  <si>
    <t>Boj proti dopingu v športu</t>
  </si>
  <si>
    <t>Seminarji na temo boja proti dopingu v športu</t>
  </si>
  <si>
    <t>3.11.9.</t>
  </si>
  <si>
    <t>4.10.10.</t>
  </si>
  <si>
    <t>Sodelovanje na sejmih v tujini</t>
  </si>
  <si>
    <t>Koordinacija MDO PD ter koordinacija z vodstvi komisij in odborov</t>
  </si>
  <si>
    <t>16.6.3.</t>
  </si>
  <si>
    <t>Plezališče OSP</t>
  </si>
  <si>
    <t>Nakup zemljišča ob PUS Bavšica</t>
  </si>
  <si>
    <t>14.4.11.</t>
  </si>
  <si>
    <t>8.2.11.</t>
  </si>
  <si>
    <t>13.4.6.</t>
  </si>
  <si>
    <t>Helikopterski preleti</t>
  </si>
  <si>
    <t>3.12.</t>
  </si>
  <si>
    <t>3.12.1.</t>
  </si>
  <si>
    <t>3.12.2.</t>
  </si>
  <si>
    <t>6.3.9.</t>
  </si>
  <si>
    <t>Dnevniki ostalo</t>
  </si>
  <si>
    <t xml:space="preserve">Nakup opreme </t>
  </si>
  <si>
    <t>Seje KEUPS</t>
  </si>
  <si>
    <t>Posveti za društva</t>
  </si>
  <si>
    <t>Sodelovanje s Slovensko vojsko in policijo</t>
  </si>
  <si>
    <t>Sodelovanje</t>
  </si>
  <si>
    <t>NMA</t>
  </si>
  <si>
    <t>4.10.11.</t>
  </si>
  <si>
    <t>Češka</t>
  </si>
  <si>
    <t>3.10.4.</t>
  </si>
  <si>
    <t>Blagovna znamka SPP</t>
  </si>
  <si>
    <t>3.10.9.</t>
  </si>
  <si>
    <t>Vodnik po SPP, prvi del</t>
  </si>
  <si>
    <t>6.3.6.</t>
  </si>
  <si>
    <t>Turno-kolesarski dnevnik</t>
  </si>
  <si>
    <t>SKUPAJ brez internih knjižb</t>
  </si>
  <si>
    <t>Stroški odvetniških storitev</t>
  </si>
  <si>
    <t>3.10.5.</t>
  </si>
  <si>
    <t>Ureditev vzorčnega tabornega prostora v Logarski dolini</t>
  </si>
  <si>
    <t>Posavsko hribovje - zahodni del 1:50000</t>
  </si>
  <si>
    <t>POROČILO 2015</t>
  </si>
  <si>
    <t>760530,760540,760550</t>
  </si>
  <si>
    <t>768000,760110,789100</t>
  </si>
  <si>
    <t>MDO PD Primorske</t>
  </si>
  <si>
    <t>PRENOS IZ PRET. LET/IZID ZA PRENOS V NASLEDNJE OBDOBJE</t>
  </si>
  <si>
    <t>rezultat</t>
  </si>
  <si>
    <t>IZID IZ PRETEKLIH LET/IZID OBDOBJA/PRENOS V NASLEDNJE L.</t>
  </si>
  <si>
    <t>REBALANS 2016</t>
  </si>
  <si>
    <t xml:space="preserve">PLANINSKI SKLAD </t>
  </si>
  <si>
    <t>PRIHODKI REBALANS 2016</t>
  </si>
  <si>
    <t xml:space="preserve">Martketinške aktivnosti </t>
  </si>
  <si>
    <t>3.1.6.</t>
  </si>
  <si>
    <t>Slovenija planinari</t>
  </si>
  <si>
    <t>KOEF. REB2016/POR2015</t>
  </si>
  <si>
    <t>ODHODKI</t>
  </si>
  <si>
    <t>PRIHODKI</t>
  </si>
  <si>
    <t>Ostalo  (v 2015 skupaj z OKS Slovenija planinari)</t>
  </si>
  <si>
    <t>Servis</t>
  </si>
  <si>
    <t>Ozaveščevalne aktivnosti</t>
  </si>
  <si>
    <t>Ljudje v gorah (Škodič)</t>
  </si>
  <si>
    <t>Trden kakor skala (Mikša, Gradnik)</t>
  </si>
  <si>
    <t>10.5.4.</t>
  </si>
  <si>
    <t>Ledeniški tečaj</t>
  </si>
  <si>
    <t>Posredni stroški mladinske reprezentance</t>
  </si>
  <si>
    <t>Posredni stroški članske reprezentance</t>
  </si>
  <si>
    <t>ostalo BMU - mednarodno tekmovanje v planinski orientaciji</t>
  </si>
  <si>
    <t>6.5.4.</t>
  </si>
  <si>
    <t>6.5.5.</t>
  </si>
  <si>
    <t>Javna dela</t>
  </si>
  <si>
    <t>9.4.</t>
  </si>
  <si>
    <t>9.4.1.</t>
  </si>
  <si>
    <t>Izvajanje programa javnih del</t>
  </si>
  <si>
    <t>FIN. NAČRT 2017</t>
  </si>
  <si>
    <t>PRIHODKI FINANČNI NAČRT 2017</t>
  </si>
  <si>
    <t>KOEF. NAČRT2017/REB2016</t>
  </si>
  <si>
    <t>Sklad za planinske poti</t>
  </si>
  <si>
    <t>Sklad za planinske koče</t>
  </si>
  <si>
    <t>Slovenski planinski muzej - PRENOS NA 2.3.</t>
  </si>
  <si>
    <t>3.10.6.</t>
  </si>
  <si>
    <t>Life Sustainhuts</t>
  </si>
  <si>
    <t>3.10.7.</t>
  </si>
  <si>
    <t>Planinske vasi</t>
  </si>
  <si>
    <t>Osnovna sredstva računalnik</t>
  </si>
  <si>
    <t>15.3.10.</t>
  </si>
  <si>
    <t>Interventna akcija</t>
  </si>
  <si>
    <t>15.3.11.</t>
  </si>
  <si>
    <t>Akcija 1</t>
  </si>
  <si>
    <t>15.3.12.</t>
  </si>
  <si>
    <t>Akcija 2</t>
  </si>
  <si>
    <t>15.3.13.</t>
  </si>
  <si>
    <t>Akcija 3</t>
  </si>
  <si>
    <t>15.3.14.</t>
  </si>
  <si>
    <t>Akcija 4</t>
  </si>
  <si>
    <t>15.3.15.</t>
  </si>
  <si>
    <t>Akcija 5</t>
  </si>
  <si>
    <t>15.3.16.</t>
  </si>
  <si>
    <t>Akcija 6</t>
  </si>
  <si>
    <t>15.3.17.</t>
  </si>
  <si>
    <t>Akcija 7</t>
  </si>
  <si>
    <t>3.10.8.</t>
  </si>
  <si>
    <t>PREDLOG FINANČNEGA NAČRTA ZA LETO 2017</t>
  </si>
  <si>
    <t>3.10.11.</t>
  </si>
  <si>
    <t>Slovenska turnokolesarska pot</t>
  </si>
  <si>
    <t>Taborni prostor Mlačca</t>
  </si>
  <si>
    <t>3.10.12.</t>
  </si>
  <si>
    <t>3.10.13.</t>
  </si>
  <si>
    <t>Planinski geografsko-informacijski sistem</t>
  </si>
  <si>
    <t>Tekma za svetovni pokal v športnem plezanju</t>
  </si>
  <si>
    <t>3.10.19.</t>
  </si>
  <si>
    <t>Kataster pl. poti PRENOS NA 3.10.12.</t>
  </si>
  <si>
    <t>Vzorčni taborni prostor PRENOS NA 3.10.8.</t>
  </si>
  <si>
    <t>Slovenska turno kolesarska pot PRENOS NA 3.10.11.</t>
  </si>
  <si>
    <t>Svetovni pokal Kranj PRENOS NA 3.10.13.</t>
  </si>
  <si>
    <t>Donacije društvom, skrbnikom planinskih poti</t>
  </si>
  <si>
    <t>Donacije društvom, lastnikom oz. upravljalcem planinskih koč</t>
  </si>
  <si>
    <t>Zavarovanje skrbnikov planinskih poti</t>
  </si>
  <si>
    <t>3.13.</t>
  </si>
  <si>
    <t>EU MF - EU mountaineering forum - UKINJEN</t>
  </si>
  <si>
    <t>6.1.13.</t>
  </si>
  <si>
    <t>Snežnik 1:50000</t>
  </si>
  <si>
    <t>Dolenjska 1:50000</t>
  </si>
  <si>
    <t>6.1.14.</t>
  </si>
  <si>
    <t>6.2.13.</t>
  </si>
  <si>
    <t>Vodnik Julijske Alpe, osrednji del</t>
  </si>
  <si>
    <t>6.3.7.</t>
  </si>
  <si>
    <t>Planinski dnevnik - ponatis</t>
  </si>
  <si>
    <t>Vodniški učbenik</t>
  </si>
  <si>
    <t>PRIHODKI 2016 - knjiženo do 10.1.2017</t>
  </si>
  <si>
    <t>Usposabljanja - NOV NAČIN RAZPOREDITVE V REB.</t>
  </si>
  <si>
    <t>Tečaj za markaciste - DRUG SISTEM</t>
  </si>
  <si>
    <t>Ostalo - PRIPRAVA UČBENIKA, SESTANKI ZA NOV SISTEM, IZOBRAŽ. TEHNIČNE EKIPE</t>
  </si>
  <si>
    <t>Ostalo - TISK KART ZA PD Z NJIHOVIMI POTMI</t>
  </si>
  <si>
    <t>ODHODKI 2016 - knjiženo do 10.1.2017</t>
  </si>
  <si>
    <t>Geodetski načrt</t>
  </si>
  <si>
    <t>3.10.14.</t>
  </si>
  <si>
    <t>Krkine poti</t>
  </si>
  <si>
    <t>3.10.15.</t>
  </si>
  <si>
    <t>Južnokaravanška pot</t>
  </si>
  <si>
    <t>Zdravju prijazno podjetje</t>
  </si>
  <si>
    <t>3.10.10.</t>
  </si>
  <si>
    <t>3.13.1.</t>
  </si>
  <si>
    <t>3.13.2.</t>
  </si>
  <si>
    <t>3.13.3.</t>
  </si>
  <si>
    <t>16.6.4.</t>
  </si>
  <si>
    <t>Anti-doping za športnike</t>
  </si>
  <si>
    <t>Sredstva EU</t>
  </si>
  <si>
    <t>Drugi prihodki</t>
  </si>
  <si>
    <t>POROČILO 2022</t>
  </si>
  <si>
    <t>REBALANS FIN. NAČRTA 2023</t>
  </si>
  <si>
    <t>PRIHODKI PODROBNI NAČRT 2024</t>
  </si>
  <si>
    <t>PODROBNI NAČRT 2024</t>
  </si>
  <si>
    <t>POROČILO 2023</t>
  </si>
  <si>
    <t xml:space="preserve">POROČILO 2023 </t>
  </si>
  <si>
    <t>KOEF. POR23/REB23</t>
  </si>
  <si>
    <t>KOEF. POR23/POR22</t>
  </si>
  <si>
    <t>POROČILO 2023_ŠE NE POTRJENO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</si>
</sst>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,##0.00\ _€"/>
    <numFmt numFmtId="166" formatCode="#,##0.000"/>
  </numFmts>
  <fonts count="4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rgb="FF0000FF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7"/>
      <color rgb="FF000000"/>
      <name val="Tahoma"/>
      <family val="2"/>
      <charset val="238"/>
    </font>
    <font>
      <sz val="7"/>
      <color rgb="FF000000"/>
      <name val="Tahoma"/>
      <family val="2"/>
      <charset val="238"/>
    </font>
    <font>
      <sz val="12"/>
      <color rgb="FFFF0000"/>
      <name val="Calibri"/>
      <family val="2"/>
      <charset val="238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C0C0"/>
        <bgColor indexed="64"/>
      </patternFill>
    </fill>
  </fills>
  <borders count="64">
    <border>
      <left/>
      <right/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 style="thin">
        <color auto="1"/>
      </top>
      <bottom style="double">
        <color auto="1"/>
      </bottom>
      <diagonal style="thin">
        <color auto="1"/>
      </diagonal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 diagonalUp="1"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double">
        <color auto="1"/>
      </right>
      <top style="thin">
        <color auto="1"/>
      </top>
      <bottom/>
      <diagonal style="thin">
        <color auto="1"/>
      </diagonal>
    </border>
    <border diagonalUp="1">
      <left/>
      <right style="double">
        <color auto="1"/>
      </right>
      <top style="thin">
        <color auto="1"/>
      </top>
      <bottom style="double">
        <color auto="1"/>
      </bottom>
      <diagonal style="thin">
        <color auto="1"/>
      </diagonal>
    </border>
    <border diagonalUp="1">
      <left style="double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5">
    <xf numFmtId="0" fontId="0" fillId="0" borderId="0"/>
    <xf numFmtId="0" fontId="38" fillId="24" borderId="0">
      <alignment horizontal="left" vertical="center"/>
    </xf>
    <xf numFmtId="0" fontId="38" fillId="24" borderId="0">
      <alignment horizontal="right" vertical="center"/>
    </xf>
    <xf numFmtId="0" fontId="39" fillId="0" borderId="0">
      <alignment horizontal="left" vertical="top"/>
    </xf>
    <xf numFmtId="0" fontId="39" fillId="0" borderId="0">
      <alignment horizontal="right" vertical="top"/>
    </xf>
  </cellStyleXfs>
  <cellXfs count="612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0" fontId="3" fillId="0" borderId="0" xfId="0" applyFont="1"/>
    <xf numFmtId="0" fontId="0" fillId="0" borderId="2" xfId="0" applyBorder="1" applyAlignment="1">
      <alignment horizontal="right"/>
    </xf>
    <xf numFmtId="16" fontId="0" fillId="0" borderId="2" xfId="0" applyNumberFormat="1" applyBorder="1" applyAlignment="1">
      <alignment horizontal="right"/>
    </xf>
    <xf numFmtId="14" fontId="0" fillId="0" borderId="2" xfId="0" applyNumberFormat="1" applyBorder="1" applyAlignment="1">
      <alignment horizontal="right"/>
    </xf>
    <xf numFmtId="16" fontId="3" fillId="2" borderId="2" xfId="0" applyNumberFormat="1" applyFont="1" applyFill="1" applyBorder="1" applyAlignment="1">
      <alignment horizontal="right"/>
    </xf>
    <xf numFmtId="0" fontId="2" fillId="3" borderId="2" xfId="0" applyFont="1" applyFill="1" applyBorder="1" applyAlignment="1">
      <alignment horizontal="right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2" fillId="3" borderId="5" xfId="0" applyFont="1" applyFill="1" applyBorder="1"/>
    <xf numFmtId="0" fontId="3" fillId="2" borderId="5" xfId="0" applyFont="1" applyFill="1" applyBorder="1"/>
    <xf numFmtId="0" fontId="1" fillId="4" borderId="6" xfId="0" applyFont="1" applyFill="1" applyBorder="1" applyAlignment="1">
      <alignment horizontal="center" vertical="center"/>
    </xf>
    <xf numFmtId="3" fontId="2" fillId="3" borderId="3" xfId="0" applyNumberFormat="1" applyFont="1" applyFill="1" applyBorder="1"/>
    <xf numFmtId="3" fontId="2" fillId="3" borderId="7" xfId="0" applyNumberFormat="1" applyFont="1" applyFill="1" applyBorder="1"/>
    <xf numFmtId="3" fontId="3" fillId="2" borderId="3" xfId="0" applyNumberFormat="1" applyFont="1" applyFill="1" applyBorder="1"/>
    <xf numFmtId="3" fontId="3" fillId="2" borderId="7" xfId="0" applyNumberFormat="1" applyFont="1" applyFill="1" applyBorder="1"/>
    <xf numFmtId="0" fontId="1" fillId="4" borderId="7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/>
    </xf>
    <xf numFmtId="0" fontId="2" fillId="3" borderId="16" xfId="0" applyFont="1" applyFill="1" applyBorder="1"/>
    <xf numFmtId="0" fontId="2" fillId="3" borderId="3" xfId="0" applyFont="1" applyFill="1" applyBorder="1"/>
    <xf numFmtId="0" fontId="3" fillId="2" borderId="16" xfId="0" applyFont="1" applyFill="1" applyBorder="1"/>
    <xf numFmtId="0" fontId="3" fillId="2" borderId="3" xfId="0" applyFont="1" applyFill="1" applyBorder="1"/>
    <xf numFmtId="0" fontId="0" fillId="0" borderId="16" xfId="0" applyBorder="1"/>
    <xf numFmtId="0" fontId="0" fillId="0" borderId="11" xfId="0" applyBorder="1"/>
    <xf numFmtId="0" fontId="0" fillId="0" borderId="17" xfId="0" applyBorder="1"/>
    <xf numFmtId="0" fontId="0" fillId="0" borderId="12" xfId="0" applyBorder="1"/>
    <xf numFmtId="3" fontId="0" fillId="0" borderId="12" xfId="0" applyNumberFormat="1" applyBorder="1"/>
    <xf numFmtId="3" fontId="0" fillId="0" borderId="18" xfId="0" applyNumberFormat="1" applyBorder="1"/>
    <xf numFmtId="0" fontId="1" fillId="4" borderId="5" xfId="0" applyFont="1" applyFill="1" applyBorder="1" applyAlignment="1">
      <alignment horizontal="center" vertical="center" wrapText="1"/>
    </xf>
    <xf numFmtId="4" fontId="2" fillId="3" borderId="5" xfId="0" applyNumberFormat="1" applyFont="1" applyFill="1" applyBorder="1"/>
    <xf numFmtId="4" fontId="3" fillId="2" borderId="5" xfId="0" applyNumberFormat="1" applyFont="1" applyFill="1" applyBorder="1"/>
    <xf numFmtId="0" fontId="1" fillId="4" borderId="19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right"/>
    </xf>
    <xf numFmtId="0" fontId="6" fillId="5" borderId="5" xfId="0" applyFont="1" applyFill="1" applyBorder="1"/>
    <xf numFmtId="4" fontId="6" fillId="5" borderId="5" xfId="0" applyNumberFormat="1" applyFont="1" applyFill="1" applyBorder="1"/>
    <xf numFmtId="0" fontId="6" fillId="5" borderId="16" xfId="0" applyFont="1" applyFill="1" applyBorder="1"/>
    <xf numFmtId="0" fontId="6" fillId="5" borderId="3" xfId="0" applyFont="1" applyFill="1" applyBorder="1"/>
    <xf numFmtId="3" fontId="6" fillId="5" borderId="7" xfId="0" applyNumberFormat="1" applyFont="1" applyFill="1" applyBorder="1"/>
    <xf numFmtId="0" fontId="6" fillId="0" borderId="0" xfId="0" applyFont="1"/>
    <xf numFmtId="0" fontId="0" fillId="0" borderId="26" xfId="0" applyBorder="1"/>
    <xf numFmtId="0" fontId="0" fillId="0" borderId="27" xfId="0" applyBorder="1"/>
    <xf numFmtId="0" fontId="0" fillId="0" borderId="28" xfId="0" applyBorder="1"/>
    <xf numFmtId="3" fontId="0" fillId="0" borderId="28" xfId="0" applyNumberFormat="1" applyBorder="1"/>
    <xf numFmtId="3" fontId="0" fillId="0" borderId="29" xfId="0" applyNumberFormat="1" applyBorder="1"/>
    <xf numFmtId="3" fontId="4" fillId="5" borderId="9" xfId="0" applyNumberFormat="1" applyFont="1" applyFill="1" applyBorder="1"/>
    <xf numFmtId="3" fontId="4" fillId="5" borderId="3" xfId="0" applyNumberFormat="1" applyFont="1" applyFill="1" applyBorder="1"/>
    <xf numFmtId="3" fontId="4" fillId="5" borderId="22" xfId="0" applyNumberFormat="1" applyFont="1" applyFill="1" applyBorder="1"/>
    <xf numFmtId="3" fontId="4" fillId="3" borderId="9" xfId="0" applyNumberFormat="1" applyFont="1" applyFill="1" applyBorder="1"/>
    <xf numFmtId="3" fontId="4" fillId="3" borderId="3" xfId="0" applyNumberFormat="1" applyFont="1" applyFill="1" applyBorder="1"/>
    <xf numFmtId="3" fontId="4" fillId="3" borderId="22" xfId="0" applyNumberFormat="1" applyFont="1" applyFill="1" applyBorder="1"/>
    <xf numFmtId="3" fontId="4" fillId="2" borderId="9" xfId="0" applyNumberFormat="1" applyFont="1" applyFill="1" applyBorder="1"/>
    <xf numFmtId="3" fontId="4" fillId="2" borderId="3" xfId="0" applyNumberFormat="1" applyFont="1" applyFill="1" applyBorder="1"/>
    <xf numFmtId="3" fontId="4" fillId="2" borderId="22" xfId="0" applyNumberFormat="1" applyFont="1" applyFill="1" applyBorder="1"/>
    <xf numFmtId="3" fontId="5" fillId="0" borderId="3" xfId="0" applyNumberFormat="1" applyFont="1" applyBorder="1"/>
    <xf numFmtId="3" fontId="5" fillId="0" borderId="22" xfId="0" applyNumberFormat="1" applyFont="1" applyBorder="1"/>
    <xf numFmtId="3" fontId="4" fillId="3" borderId="23" xfId="0" applyNumberFormat="1" applyFont="1" applyFill="1" applyBorder="1"/>
    <xf numFmtId="3" fontId="4" fillId="2" borderId="23" xfId="0" applyNumberFormat="1" applyFont="1" applyFill="1" applyBorder="1"/>
    <xf numFmtId="0" fontId="5" fillId="0" borderId="12" xfId="0" applyFont="1" applyBorder="1"/>
    <xf numFmtId="0" fontId="5" fillId="0" borderId="24" xfId="0" applyFont="1" applyBorder="1"/>
    <xf numFmtId="3" fontId="5" fillId="0" borderId="30" xfId="0" applyNumberFormat="1" applyFont="1" applyBorder="1"/>
    <xf numFmtId="3" fontId="5" fillId="0" borderId="28" xfId="0" applyNumberFormat="1" applyFont="1" applyBorder="1"/>
    <xf numFmtId="3" fontId="5" fillId="0" borderId="31" xfId="0" applyNumberFormat="1" applyFont="1" applyBorder="1"/>
    <xf numFmtId="0" fontId="5" fillId="0" borderId="0" xfId="0" applyFont="1"/>
    <xf numFmtId="164" fontId="2" fillId="3" borderId="3" xfId="0" applyNumberFormat="1" applyFont="1" applyFill="1" applyBorder="1"/>
    <xf numFmtId="3" fontId="5" fillId="0" borderId="5" xfId="0" applyNumberFormat="1" applyFont="1" applyBorder="1"/>
    <xf numFmtId="0" fontId="5" fillId="0" borderId="11" xfId="0" applyFont="1" applyBorder="1"/>
    <xf numFmtId="3" fontId="5" fillId="0" borderId="26" xfId="0" applyNumberFormat="1" applyFont="1" applyBorder="1"/>
    <xf numFmtId="0" fontId="4" fillId="4" borderId="5" xfId="0" applyFont="1" applyFill="1" applyBorder="1" applyAlignment="1">
      <alignment horizontal="center" vertical="center" wrapText="1"/>
    </xf>
    <xf numFmtId="4" fontId="7" fillId="2" borderId="5" xfId="0" applyNumberFormat="1" applyFont="1" applyFill="1" applyBorder="1"/>
    <xf numFmtId="0" fontId="4" fillId="6" borderId="14" xfId="0" applyFont="1" applyFill="1" applyBorder="1" applyAlignment="1">
      <alignment horizontal="center" vertical="center"/>
    </xf>
    <xf numFmtId="164" fontId="5" fillId="6" borderId="32" xfId="0" applyNumberFormat="1" applyFont="1" applyFill="1" applyBorder="1"/>
    <xf numFmtId="0" fontId="0" fillId="0" borderId="5" xfId="0" applyBorder="1"/>
    <xf numFmtId="4" fontId="0" fillId="0" borderId="33" xfId="0" applyNumberFormat="1" applyBorder="1"/>
    <xf numFmtId="4" fontId="0" fillId="0" borderId="35" xfId="0" applyNumberFormat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164" fontId="8" fillId="3" borderId="3" xfId="0" applyNumberFormat="1" applyFont="1" applyFill="1" applyBorder="1"/>
    <xf numFmtId="3" fontId="3" fillId="2" borderId="5" xfId="0" applyNumberFormat="1" applyFont="1" applyFill="1" applyBorder="1"/>
    <xf numFmtId="3" fontId="6" fillId="5" borderId="5" xfId="0" applyNumberFormat="1" applyFont="1" applyFill="1" applyBorder="1"/>
    <xf numFmtId="3" fontId="2" fillId="3" borderId="5" xfId="0" applyNumberFormat="1" applyFont="1" applyFill="1" applyBorder="1"/>
    <xf numFmtId="3" fontId="0" fillId="0" borderId="11" xfId="0" applyNumberFormat="1" applyBorder="1"/>
    <xf numFmtId="3" fontId="0" fillId="0" borderId="13" xfId="0" applyNumberFormat="1" applyBorder="1"/>
    <xf numFmtId="3" fontId="0" fillId="0" borderId="26" xfId="0" applyNumberFormat="1" applyBorder="1"/>
    <xf numFmtId="0" fontId="4" fillId="6" borderId="32" xfId="0" applyFont="1" applyFill="1" applyBorder="1" applyAlignment="1">
      <alignment horizontal="center" vertical="center" wrapText="1"/>
    </xf>
    <xf numFmtId="164" fontId="4" fillId="6" borderId="32" xfId="0" applyNumberFormat="1" applyFont="1" applyFill="1" applyBorder="1"/>
    <xf numFmtId="3" fontId="4" fillId="6" borderId="32" xfId="0" applyNumberFormat="1" applyFont="1" applyFill="1" applyBorder="1"/>
    <xf numFmtId="164" fontId="5" fillId="6" borderId="36" xfId="0" applyNumberFormat="1" applyFont="1" applyFill="1" applyBorder="1"/>
    <xf numFmtId="0" fontId="0" fillId="0" borderId="3" xfId="0" applyBorder="1"/>
    <xf numFmtId="3" fontId="0" fillId="0" borderId="5" xfId="0" applyNumberFormat="1" applyBorder="1"/>
    <xf numFmtId="164" fontId="5" fillId="0" borderId="32" xfId="0" applyNumberFormat="1" applyFont="1" applyBorder="1"/>
    <xf numFmtId="3" fontId="0" fillId="0" borderId="7" xfId="0" applyNumberFormat="1" applyBorder="1"/>
    <xf numFmtId="0" fontId="1" fillId="6" borderId="2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165" fontId="1" fillId="6" borderId="16" xfId="0" applyNumberFormat="1" applyFont="1" applyFill="1" applyBorder="1" applyAlignment="1">
      <alignment horizontal="center" vertical="center"/>
    </xf>
    <xf numFmtId="165" fontId="1" fillId="6" borderId="3" xfId="0" applyNumberFormat="1" applyFont="1" applyFill="1" applyBorder="1" applyAlignment="1">
      <alignment horizontal="center" vertical="center"/>
    </xf>
    <xf numFmtId="165" fontId="1" fillId="6" borderId="5" xfId="0" applyNumberFormat="1" applyFont="1" applyFill="1" applyBorder="1" applyAlignment="1">
      <alignment horizontal="center" vertical="center" wrapText="1"/>
    </xf>
    <xf numFmtId="165" fontId="4" fillId="6" borderId="32" xfId="0" applyNumberFormat="1" applyFont="1" applyFill="1" applyBorder="1" applyAlignment="1">
      <alignment horizontal="center" vertical="center" wrapText="1"/>
    </xf>
    <xf numFmtId="165" fontId="4" fillId="6" borderId="9" xfId="0" applyNumberFormat="1" applyFont="1" applyFill="1" applyBorder="1" applyAlignment="1">
      <alignment horizontal="center" vertical="center" wrapText="1"/>
    </xf>
    <xf numFmtId="165" fontId="4" fillId="6" borderId="3" xfId="0" applyNumberFormat="1" applyFont="1" applyFill="1" applyBorder="1" applyAlignment="1">
      <alignment horizontal="center" vertical="center" wrapText="1"/>
    </xf>
    <xf numFmtId="165" fontId="4" fillId="6" borderId="5" xfId="0" applyNumberFormat="1" applyFont="1" applyFill="1" applyBorder="1" applyAlignment="1">
      <alignment horizontal="center" vertical="center" wrapText="1"/>
    </xf>
    <xf numFmtId="3" fontId="9" fillId="3" borderId="9" xfId="0" applyNumberFormat="1" applyFont="1" applyFill="1" applyBorder="1"/>
    <xf numFmtId="0" fontId="2" fillId="8" borderId="16" xfId="0" applyFont="1" applyFill="1" applyBorder="1"/>
    <xf numFmtId="165" fontId="4" fillId="7" borderId="22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10" fillId="0" borderId="16" xfId="0" applyFont="1" applyBorder="1"/>
    <xf numFmtId="3" fontId="0" fillId="0" borderId="3" xfId="0" applyNumberFormat="1" applyBorder="1"/>
    <xf numFmtId="0" fontId="0" fillId="0" borderId="10" xfId="0" applyBorder="1" applyAlignment="1">
      <alignment horizontal="right"/>
    </xf>
    <xf numFmtId="3" fontId="5" fillId="0" borderId="9" xfId="0" applyNumberFormat="1" applyFont="1" applyBorder="1"/>
    <xf numFmtId="3" fontId="5" fillId="0" borderId="12" xfId="0" applyNumberFormat="1" applyFont="1" applyBorder="1"/>
    <xf numFmtId="3" fontId="5" fillId="0" borderId="24" xfId="0" applyNumberFormat="1" applyFont="1" applyBorder="1"/>
    <xf numFmtId="3" fontId="5" fillId="0" borderId="11" xfId="0" applyNumberFormat="1" applyFont="1" applyBorder="1"/>
    <xf numFmtId="4" fontId="0" fillId="0" borderId="34" xfId="0" applyNumberFormat="1" applyBorder="1"/>
    <xf numFmtId="164" fontId="5" fillId="6" borderId="37" xfId="0" applyNumberFormat="1" applyFont="1" applyFill="1" applyBorder="1"/>
    <xf numFmtId="0" fontId="10" fillId="0" borderId="3" xfId="0" applyFont="1" applyBorder="1"/>
    <xf numFmtId="3" fontId="10" fillId="0" borderId="3" xfId="0" applyNumberFormat="1" applyFont="1" applyBorder="1"/>
    <xf numFmtId="0" fontId="11" fillId="0" borderId="0" xfId="0" applyFont="1"/>
    <xf numFmtId="0" fontId="12" fillId="0" borderId="0" xfId="0" applyFont="1"/>
    <xf numFmtId="4" fontId="13" fillId="3" borderId="5" xfId="0" applyNumberFormat="1" applyFont="1" applyFill="1" applyBorder="1"/>
    <xf numFmtId="0" fontId="1" fillId="4" borderId="22" xfId="0" applyFont="1" applyFill="1" applyBorder="1" applyAlignment="1">
      <alignment horizontal="center" vertical="center" wrapText="1"/>
    </xf>
    <xf numFmtId="165" fontId="1" fillId="6" borderId="22" xfId="0" applyNumberFormat="1" applyFont="1" applyFill="1" applyBorder="1" applyAlignment="1">
      <alignment horizontal="center" vertical="center" wrapText="1"/>
    </xf>
    <xf numFmtId="4" fontId="6" fillId="5" borderId="22" xfId="0" applyNumberFormat="1" applyFont="1" applyFill="1" applyBorder="1"/>
    <xf numFmtId="4" fontId="2" fillId="3" borderId="22" xfId="0" applyNumberFormat="1" applyFont="1" applyFill="1" applyBorder="1"/>
    <xf numFmtId="4" fontId="3" fillId="2" borderId="22" xfId="0" applyNumberFormat="1" applyFont="1" applyFill="1" applyBorder="1"/>
    <xf numFmtId="4" fontId="0" fillId="0" borderId="39" xfId="0" applyNumberFormat="1" applyBorder="1"/>
    <xf numFmtId="4" fontId="0" fillId="0" borderId="40" xfId="0" applyNumberFormat="1" applyBorder="1"/>
    <xf numFmtId="0" fontId="0" fillId="0" borderId="25" xfId="0" applyBorder="1" applyAlignment="1">
      <alignment horizontal="right"/>
    </xf>
    <xf numFmtId="4" fontId="0" fillId="0" borderId="41" xfId="0" applyNumberFormat="1" applyBorder="1"/>
    <xf numFmtId="4" fontId="3" fillId="2" borderId="42" xfId="0" applyNumberFormat="1" applyFont="1" applyFill="1" applyBorder="1"/>
    <xf numFmtId="4" fontId="3" fillId="2" borderId="33" xfId="0" applyNumberFormat="1" applyFont="1" applyFill="1" applyBorder="1"/>
    <xf numFmtId="4" fontId="3" fillId="2" borderId="39" xfId="0" applyNumberFormat="1" applyFont="1" applyFill="1" applyBorder="1"/>
    <xf numFmtId="4" fontId="10" fillId="0" borderId="33" xfId="0" applyNumberFormat="1" applyFont="1" applyBorder="1"/>
    <xf numFmtId="0" fontId="4" fillId="9" borderId="9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4" fillId="9" borderId="22" xfId="0" applyFont="1" applyFill="1" applyBorder="1" applyAlignment="1">
      <alignment horizontal="center" vertical="center" wrapText="1"/>
    </xf>
    <xf numFmtId="165" fontId="4" fillId="9" borderId="9" xfId="0" applyNumberFormat="1" applyFont="1" applyFill="1" applyBorder="1" applyAlignment="1">
      <alignment horizontal="center" vertical="center" wrapText="1"/>
    </xf>
    <xf numFmtId="165" fontId="4" fillId="9" borderId="3" xfId="0" applyNumberFormat="1" applyFont="1" applyFill="1" applyBorder="1" applyAlignment="1">
      <alignment horizontal="center" vertical="center" wrapText="1"/>
    </xf>
    <xf numFmtId="165" fontId="4" fillId="9" borderId="5" xfId="0" applyNumberFormat="1" applyFont="1" applyFill="1" applyBorder="1" applyAlignment="1">
      <alignment horizontal="center" vertical="center" wrapText="1"/>
    </xf>
    <xf numFmtId="165" fontId="4" fillId="9" borderId="22" xfId="0" applyNumberFormat="1" applyFont="1" applyFill="1" applyBorder="1" applyAlignment="1">
      <alignment horizontal="center" vertical="center" wrapText="1"/>
    </xf>
    <xf numFmtId="3" fontId="4" fillId="9" borderId="9" xfId="0" applyNumberFormat="1" applyFont="1" applyFill="1" applyBorder="1"/>
    <xf numFmtId="3" fontId="4" fillId="9" borderId="3" xfId="0" applyNumberFormat="1" applyFont="1" applyFill="1" applyBorder="1"/>
    <xf numFmtId="3" fontId="4" fillId="9" borderId="22" xfId="0" applyNumberFormat="1" applyFont="1" applyFill="1" applyBorder="1"/>
    <xf numFmtId="3" fontId="5" fillId="9" borderId="9" xfId="0" applyNumberFormat="1" applyFont="1" applyFill="1" applyBorder="1"/>
    <xf numFmtId="3" fontId="5" fillId="9" borderId="3" xfId="0" applyNumberFormat="1" applyFont="1" applyFill="1" applyBorder="1"/>
    <xf numFmtId="3" fontId="5" fillId="9" borderId="5" xfId="0" applyNumberFormat="1" applyFont="1" applyFill="1" applyBorder="1"/>
    <xf numFmtId="3" fontId="5" fillId="9" borderId="22" xfId="0" applyNumberFormat="1" applyFont="1" applyFill="1" applyBorder="1"/>
    <xf numFmtId="3" fontId="4" fillId="9" borderId="23" xfId="0" applyNumberFormat="1" applyFont="1" applyFill="1" applyBorder="1"/>
    <xf numFmtId="3" fontId="5" fillId="9" borderId="12" xfId="0" applyNumberFormat="1" applyFont="1" applyFill="1" applyBorder="1"/>
    <xf numFmtId="3" fontId="5" fillId="9" borderId="11" xfId="0" applyNumberFormat="1" applyFont="1" applyFill="1" applyBorder="1"/>
    <xf numFmtId="3" fontId="5" fillId="9" borderId="24" xfId="0" applyNumberFormat="1" applyFont="1" applyFill="1" applyBorder="1"/>
    <xf numFmtId="0" fontId="5" fillId="9" borderId="12" xfId="0" applyFont="1" applyFill="1" applyBorder="1"/>
    <xf numFmtId="0" fontId="5" fillId="9" borderId="11" xfId="0" applyFont="1" applyFill="1" applyBorder="1"/>
    <xf numFmtId="0" fontId="5" fillId="9" borderId="24" xfId="0" applyFont="1" applyFill="1" applyBorder="1"/>
    <xf numFmtId="3" fontId="9" fillId="9" borderId="9" xfId="0" applyNumberFormat="1" applyFont="1" applyFill="1" applyBorder="1"/>
    <xf numFmtId="3" fontId="5" fillId="9" borderId="30" xfId="0" applyNumberFormat="1" applyFont="1" applyFill="1" applyBorder="1"/>
    <xf numFmtId="3" fontId="5" fillId="9" borderId="28" xfId="0" applyNumberFormat="1" applyFont="1" applyFill="1" applyBorder="1"/>
    <xf numFmtId="3" fontId="5" fillId="9" borderId="26" xfId="0" applyNumberFormat="1" applyFont="1" applyFill="1" applyBorder="1"/>
    <xf numFmtId="3" fontId="5" fillId="9" borderId="31" xfId="0" applyNumberFormat="1" applyFont="1" applyFill="1" applyBorder="1"/>
    <xf numFmtId="0" fontId="5" fillId="9" borderId="0" xfId="0" applyFont="1" applyFill="1"/>
    <xf numFmtId="0" fontId="1" fillId="9" borderId="14" xfId="0" applyFont="1" applyFill="1" applyBorder="1" applyAlignment="1">
      <alignment horizontal="center" vertical="center"/>
    </xf>
    <xf numFmtId="0" fontId="1" fillId="9" borderId="5" xfId="0" applyFont="1" applyFill="1" applyBorder="1" applyAlignment="1">
      <alignment horizontal="center" vertical="center" wrapText="1"/>
    </xf>
    <xf numFmtId="165" fontId="1" fillId="9" borderId="5" xfId="0" applyNumberFormat="1" applyFont="1" applyFill="1" applyBorder="1" applyAlignment="1">
      <alignment horizontal="center" vertical="center" wrapText="1"/>
    </xf>
    <xf numFmtId="3" fontId="6" fillId="9" borderId="5" xfId="0" applyNumberFormat="1" applyFont="1" applyFill="1" applyBorder="1"/>
    <xf numFmtId="3" fontId="2" fillId="9" borderId="5" xfId="0" applyNumberFormat="1" applyFont="1" applyFill="1" applyBorder="1"/>
    <xf numFmtId="3" fontId="3" fillId="9" borderId="5" xfId="0" applyNumberFormat="1" applyFont="1" applyFill="1" applyBorder="1"/>
    <xf numFmtId="3" fontId="0" fillId="9" borderId="5" xfId="0" applyNumberFormat="1" applyFill="1" applyBorder="1"/>
    <xf numFmtId="3" fontId="0" fillId="9" borderId="11" xfId="0" applyNumberFormat="1" applyFill="1" applyBorder="1"/>
    <xf numFmtId="4" fontId="3" fillId="9" borderId="5" xfId="0" applyNumberFormat="1" applyFont="1" applyFill="1" applyBorder="1"/>
    <xf numFmtId="3" fontId="0" fillId="9" borderId="13" xfId="0" applyNumberFormat="1" applyFill="1" applyBorder="1"/>
    <xf numFmtId="3" fontId="0" fillId="9" borderId="26" xfId="0" applyNumberFormat="1" applyFill="1" applyBorder="1"/>
    <xf numFmtId="0" fontId="0" fillId="9" borderId="0" xfId="0" applyFill="1"/>
    <xf numFmtId="4" fontId="0" fillId="0" borderId="5" xfId="0" applyNumberFormat="1" applyBorder="1"/>
    <xf numFmtId="4" fontId="0" fillId="0" borderId="22" xfId="0" applyNumberFormat="1" applyBorder="1"/>
    <xf numFmtId="0" fontId="0" fillId="10" borderId="2" xfId="0" applyFill="1" applyBorder="1" applyAlignment="1">
      <alignment horizontal="right"/>
    </xf>
    <xf numFmtId="0" fontId="0" fillId="10" borderId="5" xfId="0" applyFill="1" applyBorder="1"/>
    <xf numFmtId="0" fontId="0" fillId="10" borderId="16" xfId="0" applyFill="1" applyBorder="1"/>
    <xf numFmtId="0" fontId="0" fillId="10" borderId="3" xfId="0" applyFill="1" applyBorder="1"/>
    <xf numFmtId="3" fontId="0" fillId="10" borderId="3" xfId="0" applyNumberFormat="1" applyFill="1" applyBorder="1"/>
    <xf numFmtId="3" fontId="0" fillId="10" borderId="5" xfId="0" applyNumberFormat="1" applyFill="1" applyBorder="1"/>
    <xf numFmtId="164" fontId="5" fillId="10" borderId="32" xfId="0" applyNumberFormat="1" applyFont="1" applyFill="1" applyBorder="1"/>
    <xf numFmtId="3" fontId="0" fillId="10" borderId="7" xfId="0" applyNumberFormat="1" applyFill="1" applyBorder="1"/>
    <xf numFmtId="3" fontId="5" fillId="10" borderId="9" xfId="0" applyNumberFormat="1" applyFont="1" applyFill="1" applyBorder="1"/>
    <xf numFmtId="3" fontId="5" fillId="10" borderId="3" xfId="0" applyNumberFormat="1" applyFont="1" applyFill="1" applyBorder="1"/>
    <xf numFmtId="3" fontId="5" fillId="10" borderId="5" xfId="0" applyNumberFormat="1" applyFont="1" applyFill="1" applyBorder="1"/>
    <xf numFmtId="3" fontId="5" fillId="10" borderId="22" xfId="0" applyNumberFormat="1" applyFont="1" applyFill="1" applyBorder="1"/>
    <xf numFmtId="4" fontId="0" fillId="10" borderId="5" xfId="0" applyNumberFormat="1" applyFill="1" applyBorder="1"/>
    <xf numFmtId="4" fontId="0" fillId="10" borderId="22" xfId="0" applyNumberFormat="1" applyFill="1" applyBorder="1"/>
    <xf numFmtId="0" fontId="0" fillId="10" borderId="0" xfId="0" applyFill="1"/>
    <xf numFmtId="14" fontId="1" fillId="10" borderId="2" xfId="0" applyNumberFormat="1" applyFont="1" applyFill="1" applyBorder="1" applyAlignment="1">
      <alignment horizontal="right"/>
    </xf>
    <xf numFmtId="0" fontId="1" fillId="10" borderId="5" xfId="0" applyFont="1" applyFill="1" applyBorder="1"/>
    <xf numFmtId="0" fontId="1" fillId="10" borderId="16" xfId="0" applyFont="1" applyFill="1" applyBorder="1"/>
    <xf numFmtId="0" fontId="1" fillId="10" borderId="3" xfId="0" applyFont="1" applyFill="1" applyBorder="1"/>
    <xf numFmtId="3" fontId="1" fillId="10" borderId="3" xfId="0" applyNumberFormat="1" applyFont="1" applyFill="1" applyBorder="1"/>
    <xf numFmtId="3" fontId="1" fillId="10" borderId="5" xfId="0" applyNumberFormat="1" applyFont="1" applyFill="1" applyBorder="1"/>
    <xf numFmtId="164" fontId="4" fillId="10" borderId="32" xfId="0" applyNumberFormat="1" applyFont="1" applyFill="1" applyBorder="1"/>
    <xf numFmtId="3" fontId="1" fillId="10" borderId="7" xfId="0" applyNumberFormat="1" applyFont="1" applyFill="1" applyBorder="1"/>
    <xf numFmtId="3" fontId="4" fillId="10" borderId="9" xfId="0" applyNumberFormat="1" applyFont="1" applyFill="1" applyBorder="1"/>
    <xf numFmtId="3" fontId="4" fillId="10" borderId="3" xfId="0" applyNumberFormat="1" applyFont="1" applyFill="1" applyBorder="1"/>
    <xf numFmtId="3" fontId="4" fillId="10" borderId="5" xfId="0" applyNumberFormat="1" applyFont="1" applyFill="1" applyBorder="1"/>
    <xf numFmtId="3" fontId="4" fillId="10" borderId="22" xfId="0" applyNumberFormat="1" applyFont="1" applyFill="1" applyBorder="1"/>
    <xf numFmtId="4" fontId="1" fillId="10" borderId="5" xfId="0" applyNumberFormat="1" applyFont="1" applyFill="1" applyBorder="1"/>
    <xf numFmtId="4" fontId="1" fillId="10" borderId="22" xfId="0" applyNumberFormat="1" applyFont="1" applyFill="1" applyBorder="1"/>
    <xf numFmtId="0" fontId="1" fillId="10" borderId="0" xfId="0" applyFont="1" applyFill="1"/>
    <xf numFmtId="14" fontId="0" fillId="10" borderId="2" xfId="0" applyNumberFormat="1" applyFill="1" applyBorder="1" applyAlignment="1">
      <alignment horizontal="right"/>
    </xf>
    <xf numFmtId="4" fontId="10" fillId="0" borderId="5" xfId="0" applyNumberFormat="1" applyFont="1" applyBorder="1"/>
    <xf numFmtId="0" fontId="1" fillId="10" borderId="2" xfId="0" applyFont="1" applyFill="1" applyBorder="1" applyAlignment="1">
      <alignment horizontal="right"/>
    </xf>
    <xf numFmtId="3" fontId="5" fillId="10" borderId="13" xfId="0" applyNumberFormat="1" applyFont="1" applyFill="1" applyBorder="1"/>
    <xf numFmtId="3" fontId="5" fillId="10" borderId="23" xfId="0" applyNumberFormat="1" applyFont="1" applyFill="1" applyBorder="1"/>
    <xf numFmtId="3" fontId="0" fillId="11" borderId="5" xfId="0" applyNumberFormat="1" applyFill="1" applyBorder="1"/>
    <xf numFmtId="3" fontId="0" fillId="6" borderId="5" xfId="0" applyNumberFormat="1" applyFill="1" applyBorder="1"/>
    <xf numFmtId="3" fontId="0" fillId="12" borderId="5" xfId="0" applyNumberFormat="1" applyFill="1" applyBorder="1"/>
    <xf numFmtId="4" fontId="4" fillId="9" borderId="9" xfId="0" applyNumberFormat="1" applyFont="1" applyFill="1" applyBorder="1" applyAlignment="1">
      <alignment horizontal="center" vertical="center" wrapText="1"/>
    </xf>
    <xf numFmtId="165" fontId="4" fillId="0" borderId="22" xfId="0" applyNumberFormat="1" applyFont="1" applyBorder="1" applyAlignment="1">
      <alignment horizontal="center" vertical="center" wrapText="1"/>
    </xf>
    <xf numFmtId="3" fontId="4" fillId="13" borderId="9" xfId="0" applyNumberFormat="1" applyFont="1" applyFill="1" applyBorder="1"/>
    <xf numFmtId="3" fontId="4" fillId="13" borderId="3" xfId="0" applyNumberFormat="1" applyFont="1" applyFill="1" applyBorder="1"/>
    <xf numFmtId="3" fontId="9" fillId="13" borderId="9" xfId="0" applyNumberFormat="1" applyFont="1" applyFill="1" applyBorder="1"/>
    <xf numFmtId="3" fontId="5" fillId="0" borderId="13" xfId="0" applyNumberFormat="1" applyFont="1" applyBorder="1"/>
    <xf numFmtId="3" fontId="5" fillId="9" borderId="13" xfId="0" applyNumberFormat="1" applyFont="1" applyFill="1" applyBorder="1"/>
    <xf numFmtId="164" fontId="0" fillId="0" borderId="32" xfId="0" applyNumberFormat="1" applyBorder="1"/>
    <xf numFmtId="3" fontId="0" fillId="0" borderId="9" xfId="0" applyNumberFormat="1" applyBorder="1"/>
    <xf numFmtId="3" fontId="0" fillId="0" borderId="22" xfId="0" applyNumberFormat="1" applyBorder="1"/>
    <xf numFmtId="0" fontId="1" fillId="0" borderId="2" xfId="0" applyFont="1" applyBorder="1" applyAlignment="1">
      <alignment horizontal="right"/>
    </xf>
    <xf numFmtId="0" fontId="1" fillId="0" borderId="5" xfId="0" applyFont="1" applyBorder="1"/>
    <xf numFmtId="0" fontId="1" fillId="0" borderId="16" xfId="0" applyFont="1" applyBorder="1"/>
    <xf numFmtId="0" fontId="1" fillId="0" borderId="3" xfId="0" applyFont="1" applyBorder="1"/>
    <xf numFmtId="3" fontId="1" fillId="0" borderId="3" xfId="0" applyNumberFormat="1" applyFont="1" applyBorder="1"/>
    <xf numFmtId="3" fontId="1" fillId="0" borderId="5" xfId="0" applyNumberFormat="1" applyFont="1" applyBorder="1"/>
    <xf numFmtId="164" fontId="4" fillId="0" borderId="32" xfId="0" applyNumberFormat="1" applyFont="1" applyBorder="1"/>
    <xf numFmtId="3" fontId="1" fillId="0" borderId="7" xfId="0" applyNumberFormat="1" applyFont="1" applyBorder="1"/>
    <xf numFmtId="3" fontId="4" fillId="0" borderId="9" xfId="0" applyNumberFormat="1" applyFont="1" applyBorder="1"/>
    <xf numFmtId="3" fontId="4" fillId="0" borderId="13" xfId="0" applyNumberFormat="1" applyFont="1" applyBorder="1"/>
    <xf numFmtId="3" fontId="4" fillId="0" borderId="23" xfId="0" applyNumberFormat="1" applyFont="1" applyBorder="1"/>
    <xf numFmtId="4" fontId="4" fillId="0" borderId="9" xfId="0" applyNumberFormat="1" applyFont="1" applyBorder="1" applyAlignment="1">
      <alignment horizontal="center" vertical="center" wrapText="1"/>
    </xf>
    <xf numFmtId="4" fontId="1" fillId="0" borderId="5" xfId="0" applyNumberFormat="1" applyFont="1" applyBorder="1"/>
    <xf numFmtId="4" fontId="1" fillId="0" borderId="22" xfId="0" applyNumberFormat="1" applyFont="1" applyBorder="1"/>
    <xf numFmtId="0" fontId="1" fillId="0" borderId="0" xfId="0" applyFont="1"/>
    <xf numFmtId="3" fontId="5" fillId="0" borderId="23" xfId="0" applyNumberFormat="1" applyFont="1" applyBorder="1"/>
    <xf numFmtId="3" fontId="19" fillId="9" borderId="5" xfId="0" applyNumberFormat="1" applyFont="1" applyFill="1" applyBorder="1"/>
    <xf numFmtId="3" fontId="19" fillId="0" borderId="5" xfId="0" applyNumberFormat="1" applyFont="1" applyBorder="1"/>
    <xf numFmtId="0" fontId="0" fillId="0" borderId="9" xfId="0" applyBorder="1"/>
    <xf numFmtId="0" fontId="21" fillId="14" borderId="14" xfId="0" applyFont="1" applyFill="1" applyBorder="1" applyAlignment="1">
      <alignment horizontal="center" vertical="center"/>
    </xf>
    <xf numFmtId="0" fontId="21" fillId="14" borderId="15" xfId="0" applyFont="1" applyFill="1" applyBorder="1" applyAlignment="1">
      <alignment horizontal="center" vertical="center"/>
    </xf>
    <xf numFmtId="0" fontId="9" fillId="14" borderId="14" xfId="0" applyFont="1" applyFill="1" applyBorder="1" applyAlignment="1">
      <alignment horizontal="center" vertical="center"/>
    </xf>
    <xf numFmtId="0" fontId="21" fillId="14" borderId="6" xfId="0" applyFont="1" applyFill="1" applyBorder="1" applyAlignment="1">
      <alignment horizontal="center" vertical="center"/>
    </xf>
    <xf numFmtId="4" fontId="1" fillId="0" borderId="0" xfId="0" applyNumberFormat="1" applyFont="1"/>
    <xf numFmtId="0" fontId="1" fillId="4" borderId="0" xfId="0" applyFont="1" applyFill="1" applyAlignment="1">
      <alignment horizontal="center" vertical="center" wrapText="1"/>
    </xf>
    <xf numFmtId="3" fontId="6" fillId="15" borderId="5" xfId="0" applyNumberFormat="1" applyFont="1" applyFill="1" applyBorder="1"/>
    <xf numFmtId="164" fontId="4" fillId="15" borderId="32" xfId="0" applyNumberFormat="1" applyFont="1" applyFill="1" applyBorder="1"/>
    <xf numFmtId="4" fontId="4" fillId="15" borderId="9" xfId="0" applyNumberFormat="1" applyFont="1" applyFill="1" applyBorder="1" applyAlignment="1">
      <alignment horizontal="center" vertical="center" wrapText="1"/>
    </xf>
    <xf numFmtId="3" fontId="4" fillId="15" borderId="9" xfId="0" applyNumberFormat="1" applyFont="1" applyFill="1" applyBorder="1"/>
    <xf numFmtId="3" fontId="2" fillId="8" borderId="5" xfId="0" applyNumberFormat="1" applyFont="1" applyFill="1" applyBorder="1"/>
    <xf numFmtId="164" fontId="4" fillId="8" borderId="32" xfId="0" applyNumberFormat="1" applyFont="1" applyFill="1" applyBorder="1"/>
    <xf numFmtId="4" fontId="4" fillId="8" borderId="9" xfId="0" applyNumberFormat="1" applyFont="1" applyFill="1" applyBorder="1" applyAlignment="1">
      <alignment horizontal="center" vertical="center" wrapText="1"/>
    </xf>
    <xf numFmtId="3" fontId="20" fillId="8" borderId="9" xfId="0" applyNumberFormat="1" applyFont="1" applyFill="1" applyBorder="1"/>
    <xf numFmtId="3" fontId="4" fillId="8" borderId="3" xfId="0" applyNumberFormat="1" applyFont="1" applyFill="1" applyBorder="1"/>
    <xf numFmtId="3" fontId="4" fillId="8" borderId="9" xfId="0" applyNumberFormat="1" applyFont="1" applyFill="1" applyBorder="1"/>
    <xf numFmtId="3" fontId="4" fillId="8" borderId="23" xfId="0" applyNumberFormat="1" applyFont="1" applyFill="1" applyBorder="1"/>
    <xf numFmtId="3" fontId="9" fillId="8" borderId="9" xfId="0" applyNumberFormat="1" applyFont="1" applyFill="1" applyBorder="1"/>
    <xf numFmtId="3" fontId="4" fillId="8" borderId="22" xfId="0" applyNumberFormat="1" applyFont="1" applyFill="1" applyBorder="1"/>
    <xf numFmtId="3" fontId="3" fillId="16" borderId="5" xfId="0" applyNumberFormat="1" applyFont="1" applyFill="1" applyBorder="1"/>
    <xf numFmtId="164" fontId="4" fillId="16" borderId="32" xfId="0" applyNumberFormat="1" applyFont="1" applyFill="1" applyBorder="1"/>
    <xf numFmtId="4" fontId="4" fillId="16" borderId="9" xfId="0" applyNumberFormat="1" applyFont="1" applyFill="1" applyBorder="1" applyAlignment="1">
      <alignment horizontal="center" vertical="center" wrapText="1"/>
    </xf>
    <xf numFmtId="3" fontId="4" fillId="16" borderId="9" xfId="0" applyNumberFormat="1" applyFont="1" applyFill="1" applyBorder="1"/>
    <xf numFmtId="3" fontId="4" fillId="16" borderId="3" xfId="0" applyNumberFormat="1" applyFont="1" applyFill="1" applyBorder="1"/>
    <xf numFmtId="3" fontId="4" fillId="16" borderId="22" xfId="0" applyNumberFormat="1" applyFont="1" applyFill="1" applyBorder="1"/>
    <xf numFmtId="16" fontId="3" fillId="16" borderId="2" xfId="0" applyNumberFormat="1" applyFont="1" applyFill="1" applyBorder="1" applyAlignment="1">
      <alignment horizontal="right"/>
    </xf>
    <xf numFmtId="0" fontId="3" fillId="16" borderId="5" xfId="0" applyFont="1" applyFill="1" applyBorder="1"/>
    <xf numFmtId="0" fontId="3" fillId="16" borderId="16" xfId="0" applyFont="1" applyFill="1" applyBorder="1"/>
    <xf numFmtId="0" fontId="3" fillId="16" borderId="3" xfId="0" applyFont="1" applyFill="1" applyBorder="1"/>
    <xf numFmtId="3" fontId="3" fillId="16" borderId="3" xfId="0" applyNumberFormat="1" applyFont="1" applyFill="1" applyBorder="1"/>
    <xf numFmtId="3" fontId="3" fillId="16" borderId="7" xfId="0" applyNumberFormat="1" applyFont="1" applyFill="1" applyBorder="1"/>
    <xf numFmtId="4" fontId="3" fillId="16" borderId="5" xfId="0" applyNumberFormat="1" applyFont="1" applyFill="1" applyBorder="1"/>
    <xf numFmtId="4" fontId="3" fillId="16" borderId="22" xfId="0" applyNumberFormat="1" applyFont="1" applyFill="1" applyBorder="1"/>
    <xf numFmtId="4" fontId="0" fillId="16" borderId="0" xfId="0" applyNumberFormat="1" applyFill="1"/>
    <xf numFmtId="4" fontId="1" fillId="16" borderId="0" xfId="0" applyNumberFormat="1" applyFont="1" applyFill="1"/>
    <xf numFmtId="0" fontId="3" fillId="16" borderId="0" xfId="0" applyFont="1" applyFill="1"/>
    <xf numFmtId="4" fontId="7" fillId="16" borderId="5" xfId="0" applyNumberFormat="1" applyFont="1" applyFill="1" applyBorder="1"/>
    <xf numFmtId="3" fontId="4" fillId="16" borderId="23" xfId="0" applyNumberFormat="1" applyFont="1" applyFill="1" applyBorder="1"/>
    <xf numFmtId="4" fontId="3" fillId="16" borderId="42" xfId="0" applyNumberFormat="1" applyFont="1" applyFill="1" applyBorder="1"/>
    <xf numFmtId="4" fontId="3" fillId="16" borderId="33" xfId="0" applyNumberFormat="1" applyFont="1" applyFill="1" applyBorder="1"/>
    <xf numFmtId="4" fontId="3" fillId="16" borderId="39" xfId="0" applyNumberFormat="1" applyFont="1" applyFill="1" applyBorder="1"/>
    <xf numFmtId="3" fontId="9" fillId="8" borderId="3" xfId="0" applyNumberFormat="1" applyFont="1" applyFill="1" applyBorder="1"/>
    <xf numFmtId="3" fontId="9" fillId="8" borderId="22" xfId="0" applyNumberFormat="1" applyFont="1" applyFill="1" applyBorder="1"/>
    <xf numFmtId="3" fontId="13" fillId="8" borderId="9" xfId="0" applyNumberFormat="1" applyFont="1" applyFill="1" applyBorder="1"/>
    <xf numFmtId="3" fontId="13" fillId="8" borderId="51" xfId="0" applyNumberFormat="1" applyFont="1" applyFill="1" applyBorder="1"/>
    <xf numFmtId="3" fontId="10" fillId="0" borderId="9" xfId="0" applyNumberFormat="1" applyFont="1" applyBorder="1"/>
    <xf numFmtId="3" fontId="21" fillId="16" borderId="9" xfId="0" applyNumberFormat="1" applyFont="1" applyFill="1" applyBorder="1"/>
    <xf numFmtId="4" fontId="7" fillId="16" borderId="3" xfId="0" applyNumberFormat="1" applyFont="1" applyFill="1" applyBorder="1"/>
    <xf numFmtId="0" fontId="7" fillId="0" borderId="0" xfId="0" applyFont="1"/>
    <xf numFmtId="4" fontId="10" fillId="0" borderId="3" xfId="0" applyNumberFormat="1" applyFont="1" applyBorder="1"/>
    <xf numFmtId="0" fontId="10" fillId="0" borderId="0" xfId="0" applyFont="1"/>
    <xf numFmtId="3" fontId="10" fillId="16" borderId="9" xfId="0" applyNumberFormat="1" applyFont="1" applyFill="1" applyBorder="1"/>
    <xf numFmtId="0" fontId="10" fillId="0" borderId="0" xfId="0" applyFont="1" applyAlignment="1">
      <alignment horizontal="right"/>
    </xf>
    <xf numFmtId="4" fontId="22" fillId="0" borderId="0" xfId="0" applyNumberFormat="1" applyFont="1"/>
    <xf numFmtId="3" fontId="22" fillId="0" borderId="0" xfId="0" applyNumberFormat="1" applyFont="1"/>
    <xf numFmtId="3" fontId="10" fillId="0" borderId="0" xfId="0" applyNumberFormat="1" applyFont="1"/>
    <xf numFmtId="4" fontId="10" fillId="0" borderId="0" xfId="0" applyNumberFormat="1" applyFont="1"/>
    <xf numFmtId="0" fontId="22" fillId="9" borderId="0" xfId="0" applyFont="1" applyFill="1"/>
    <xf numFmtId="3" fontId="22" fillId="9" borderId="0" xfId="0" applyNumberFormat="1" applyFont="1" applyFill="1"/>
    <xf numFmtId="0" fontId="22" fillId="9" borderId="0" xfId="0" quotePrefix="1" applyFont="1" applyFill="1"/>
    <xf numFmtId="9" fontId="22" fillId="9" borderId="0" xfId="0" applyNumberFormat="1" applyFont="1" applyFill="1"/>
    <xf numFmtId="0" fontId="21" fillId="0" borderId="53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21" fillId="0" borderId="54" xfId="0" applyFont="1" applyBorder="1" applyAlignment="1">
      <alignment horizontal="center" vertical="center"/>
    </xf>
    <xf numFmtId="3" fontId="21" fillId="13" borderId="3" xfId="0" applyNumberFormat="1" applyFont="1" applyFill="1" applyBorder="1" applyAlignment="1">
      <alignment horizontal="center" vertical="center" wrapText="1"/>
    </xf>
    <xf numFmtId="4" fontId="24" fillId="13" borderId="3" xfId="0" applyNumberFormat="1" applyFont="1" applyFill="1" applyBorder="1" applyAlignment="1">
      <alignment horizontal="center" vertical="center" wrapText="1"/>
    </xf>
    <xf numFmtId="3" fontId="21" fillId="14" borderId="3" xfId="0" applyNumberFormat="1" applyFont="1" applyFill="1" applyBorder="1" applyAlignment="1">
      <alignment horizontal="center" vertical="center" wrapText="1"/>
    </xf>
    <xf numFmtId="4" fontId="24" fillId="14" borderId="3" xfId="0" applyNumberFormat="1" applyFont="1" applyFill="1" applyBorder="1" applyAlignment="1">
      <alignment horizontal="center" vertical="center" wrapText="1"/>
    </xf>
    <xf numFmtId="4" fontId="24" fillId="14" borderId="13" xfId="0" applyNumberFormat="1" applyFont="1" applyFill="1" applyBorder="1" applyAlignment="1">
      <alignment horizontal="center" vertical="center" wrapText="1"/>
    </xf>
    <xf numFmtId="0" fontId="24" fillId="17" borderId="3" xfId="0" applyFont="1" applyFill="1" applyBorder="1" applyAlignment="1">
      <alignment horizontal="center" vertical="center" wrapText="1"/>
    </xf>
    <xf numFmtId="0" fontId="24" fillId="17" borderId="5" xfId="0" applyFont="1" applyFill="1" applyBorder="1" applyAlignment="1">
      <alignment horizontal="center" vertical="center" wrapText="1"/>
    </xf>
    <xf numFmtId="0" fontId="24" fillId="17" borderId="44" xfId="0" applyFont="1" applyFill="1" applyBorder="1" applyAlignment="1">
      <alignment horizontal="center" vertical="center" wrapText="1"/>
    </xf>
    <xf numFmtId="3" fontId="24" fillId="17" borderId="9" xfId="0" applyNumberFormat="1" applyFont="1" applyFill="1" applyBorder="1" applyAlignment="1">
      <alignment horizontal="center" vertical="center" wrapText="1"/>
    </xf>
    <xf numFmtId="0" fontId="25" fillId="18" borderId="54" xfId="0" applyFont="1" applyFill="1" applyBorder="1" applyAlignment="1">
      <alignment horizontal="center" vertical="center"/>
    </xf>
    <xf numFmtId="3" fontId="25" fillId="18" borderId="3" xfId="0" applyNumberFormat="1" applyFont="1" applyFill="1" applyBorder="1" applyAlignment="1">
      <alignment horizontal="right"/>
    </xf>
    <xf numFmtId="4" fontId="25" fillId="18" borderId="3" xfId="0" applyNumberFormat="1" applyFont="1" applyFill="1" applyBorder="1" applyAlignment="1">
      <alignment horizontal="right"/>
    </xf>
    <xf numFmtId="4" fontId="25" fillId="18" borderId="13" xfId="0" applyNumberFormat="1" applyFont="1" applyFill="1" applyBorder="1" applyAlignment="1">
      <alignment horizontal="right"/>
    </xf>
    <xf numFmtId="3" fontId="25" fillId="18" borderId="9" xfId="0" applyNumberFormat="1" applyFont="1" applyFill="1" applyBorder="1" applyAlignment="1">
      <alignment horizontal="right"/>
    </xf>
    <xf numFmtId="4" fontId="25" fillId="18" borderId="9" xfId="0" applyNumberFormat="1" applyFont="1" applyFill="1" applyBorder="1" applyAlignment="1">
      <alignment horizontal="right"/>
    </xf>
    <xf numFmtId="165" fontId="25" fillId="18" borderId="9" xfId="0" applyNumberFormat="1" applyFont="1" applyFill="1" applyBorder="1" applyAlignment="1">
      <alignment horizontal="center" vertical="center" wrapText="1"/>
    </xf>
    <xf numFmtId="165" fontId="25" fillId="18" borderId="13" xfId="0" applyNumberFormat="1" applyFont="1" applyFill="1" applyBorder="1" applyAlignment="1">
      <alignment horizontal="center" vertical="center" wrapText="1"/>
    </xf>
    <xf numFmtId="165" fontId="25" fillId="18" borderId="51" xfId="0" applyNumberFormat="1" applyFont="1" applyFill="1" applyBorder="1" applyAlignment="1">
      <alignment horizontal="center" vertical="center" wrapText="1"/>
    </xf>
    <xf numFmtId="3" fontId="25" fillId="18" borderId="9" xfId="0" applyNumberFormat="1" applyFont="1" applyFill="1" applyBorder="1" applyAlignment="1">
      <alignment horizontal="center" vertical="center" wrapText="1"/>
    </xf>
    <xf numFmtId="0" fontId="26" fillId="0" borderId="0" xfId="0" applyFont="1"/>
    <xf numFmtId="0" fontId="25" fillId="5" borderId="54" xfId="0" applyFont="1" applyFill="1" applyBorder="1" applyAlignment="1">
      <alignment horizontal="right"/>
    </xf>
    <xf numFmtId="3" fontId="25" fillId="5" borderId="3" xfId="0" applyNumberFormat="1" applyFont="1" applyFill="1" applyBorder="1"/>
    <xf numFmtId="4" fontId="25" fillId="5" borderId="3" xfId="0" applyNumberFormat="1" applyFont="1" applyFill="1" applyBorder="1"/>
    <xf numFmtId="4" fontId="25" fillId="5" borderId="13" xfId="0" applyNumberFormat="1" applyFont="1" applyFill="1" applyBorder="1"/>
    <xf numFmtId="3" fontId="25" fillId="5" borderId="9" xfId="0" applyNumberFormat="1" applyFont="1" applyFill="1" applyBorder="1"/>
    <xf numFmtId="4" fontId="25" fillId="5" borderId="9" xfId="0" applyNumberFormat="1" applyFont="1" applyFill="1" applyBorder="1"/>
    <xf numFmtId="3" fontId="25" fillId="15" borderId="9" xfId="0" applyNumberFormat="1" applyFont="1" applyFill="1" applyBorder="1"/>
    <xf numFmtId="3" fontId="25" fillId="15" borderId="51" xfId="0" applyNumberFormat="1" applyFont="1" applyFill="1" applyBorder="1"/>
    <xf numFmtId="0" fontId="25" fillId="0" borderId="0" xfId="0" applyFont="1"/>
    <xf numFmtId="0" fontId="13" fillId="8" borderId="54" xfId="0" applyFont="1" applyFill="1" applyBorder="1" applyAlignment="1">
      <alignment horizontal="right"/>
    </xf>
    <xf numFmtId="3" fontId="13" fillId="8" borderId="3" xfId="0" applyNumberFormat="1" applyFont="1" applyFill="1" applyBorder="1"/>
    <xf numFmtId="4" fontId="13" fillId="8" borderId="3" xfId="0" applyNumberFormat="1" applyFont="1" applyFill="1" applyBorder="1"/>
    <xf numFmtId="4" fontId="13" fillId="8" borderId="13" xfId="0" applyNumberFormat="1" applyFont="1" applyFill="1" applyBorder="1"/>
    <xf numFmtId="4" fontId="13" fillId="8" borderId="9" xfId="0" applyNumberFormat="1" applyFont="1" applyFill="1" applyBorder="1"/>
    <xf numFmtId="0" fontId="13" fillId="0" borderId="0" xfId="0" applyFont="1"/>
    <xf numFmtId="0" fontId="13" fillId="8" borderId="0" xfId="0" applyFont="1" applyFill="1"/>
    <xf numFmtId="16" fontId="7" fillId="16" borderId="54" xfId="0" applyNumberFormat="1" applyFont="1" applyFill="1" applyBorder="1" applyAlignment="1">
      <alignment horizontal="right"/>
    </xf>
    <xf numFmtId="4" fontId="7" fillId="16" borderId="13" xfId="0" applyNumberFormat="1" applyFont="1" applyFill="1" applyBorder="1"/>
    <xf numFmtId="3" fontId="21" fillId="16" borderId="3" xfId="0" applyNumberFormat="1" applyFont="1" applyFill="1" applyBorder="1"/>
    <xf numFmtId="4" fontId="21" fillId="16" borderId="9" xfId="0" applyNumberFormat="1" applyFont="1" applyFill="1" applyBorder="1"/>
    <xf numFmtId="3" fontId="7" fillId="16" borderId="9" xfId="0" applyNumberFormat="1" applyFont="1" applyFill="1" applyBorder="1"/>
    <xf numFmtId="3" fontId="7" fillId="16" borderId="44" xfId="0" applyNumberFormat="1" applyFont="1" applyFill="1" applyBorder="1"/>
    <xf numFmtId="0" fontId="7" fillId="16" borderId="0" xfId="0" applyFont="1" applyFill="1"/>
    <xf numFmtId="0" fontId="10" fillId="0" borderId="54" xfId="0" applyFont="1" applyBorder="1" applyAlignment="1">
      <alignment horizontal="right"/>
    </xf>
    <xf numFmtId="4" fontId="10" fillId="0" borderId="13" xfId="0" applyNumberFormat="1" applyFont="1" applyBorder="1"/>
    <xf numFmtId="4" fontId="10" fillId="0" borderId="9" xfId="0" applyNumberFormat="1" applyFont="1" applyBorder="1"/>
    <xf numFmtId="3" fontId="10" fillId="0" borderId="5" xfId="0" applyNumberFormat="1" applyFont="1" applyBorder="1"/>
    <xf numFmtId="3" fontId="10" fillId="0" borderId="44" xfId="0" applyNumberFormat="1" applyFont="1" applyBorder="1"/>
    <xf numFmtId="0" fontId="27" fillId="0" borderId="54" xfId="0" applyFont="1" applyBorder="1" applyAlignment="1">
      <alignment horizontal="right"/>
    </xf>
    <xf numFmtId="16" fontId="10" fillId="0" borderId="54" xfId="0" applyNumberFormat="1" applyFont="1" applyBorder="1" applyAlignment="1">
      <alignment horizontal="right"/>
    </xf>
    <xf numFmtId="3" fontId="7" fillId="16" borderId="51" xfId="0" applyNumberFormat="1" applyFont="1" applyFill="1" applyBorder="1"/>
    <xf numFmtId="0" fontId="7" fillId="16" borderId="54" xfId="0" applyFont="1" applyFill="1" applyBorder="1" applyAlignment="1">
      <alignment horizontal="right"/>
    </xf>
    <xf numFmtId="0" fontId="28" fillId="0" borderId="54" xfId="0" applyFont="1" applyBorder="1" applyAlignment="1">
      <alignment horizontal="right"/>
    </xf>
    <xf numFmtId="3" fontId="10" fillId="0" borderId="51" xfId="0" applyNumberFormat="1" applyFont="1" applyBorder="1"/>
    <xf numFmtId="4" fontId="7" fillId="16" borderId="9" xfId="0" applyNumberFormat="1" applyFont="1" applyFill="1" applyBorder="1"/>
    <xf numFmtId="3" fontId="10" fillId="0" borderId="13" xfId="0" applyNumberFormat="1" applyFont="1" applyBorder="1"/>
    <xf numFmtId="3" fontId="7" fillId="2" borderId="3" xfId="0" applyNumberFormat="1" applyFont="1" applyFill="1" applyBorder="1"/>
    <xf numFmtId="4" fontId="7" fillId="2" borderId="3" xfId="0" applyNumberFormat="1" applyFont="1" applyFill="1" applyBorder="1"/>
    <xf numFmtId="4" fontId="7" fillId="2" borderId="13" xfId="0" applyNumberFormat="1" applyFont="1" applyFill="1" applyBorder="1"/>
    <xf numFmtId="3" fontId="7" fillId="2" borderId="9" xfId="0" applyNumberFormat="1" applyFont="1" applyFill="1" applyBorder="1"/>
    <xf numFmtId="4" fontId="7" fillId="2" borderId="9" xfId="0" applyNumberFormat="1" applyFont="1" applyFill="1" applyBorder="1"/>
    <xf numFmtId="3" fontId="7" fillId="2" borderId="51" xfId="0" applyNumberFormat="1" applyFont="1" applyFill="1" applyBorder="1"/>
    <xf numFmtId="3" fontId="29" fillId="0" borderId="3" xfId="0" applyNumberFormat="1" applyFont="1" applyBorder="1"/>
    <xf numFmtId="4" fontId="29" fillId="0" borderId="9" xfId="0" applyNumberFormat="1" applyFont="1" applyBorder="1"/>
    <xf numFmtId="0" fontId="21" fillId="8" borderId="54" xfId="0" applyFont="1" applyFill="1" applyBorder="1" applyAlignment="1">
      <alignment horizontal="right"/>
    </xf>
    <xf numFmtId="14" fontId="10" fillId="0" borderId="54" xfId="0" applyNumberFormat="1" applyFont="1" applyBorder="1" applyAlignment="1">
      <alignment horizontal="right"/>
    </xf>
    <xf numFmtId="0" fontId="10" fillId="0" borderId="56" xfId="0" applyFont="1" applyBorder="1" applyAlignment="1">
      <alignment horizontal="right"/>
    </xf>
    <xf numFmtId="3" fontId="10" fillId="0" borderId="12" xfId="0" applyNumberFormat="1" applyFont="1" applyBorder="1"/>
    <xf numFmtId="3" fontId="10" fillId="0" borderId="11" xfId="0" applyNumberFormat="1" applyFont="1" applyBorder="1"/>
    <xf numFmtId="3" fontId="10" fillId="0" borderId="57" xfId="0" applyNumberFormat="1" applyFont="1" applyBorder="1"/>
    <xf numFmtId="0" fontId="10" fillId="0" borderId="12" xfId="0" applyFont="1" applyBorder="1"/>
    <xf numFmtId="0" fontId="10" fillId="0" borderId="11" xfId="0" applyFont="1" applyBorder="1"/>
    <xf numFmtId="0" fontId="10" fillId="0" borderId="57" xfId="0" applyFont="1" applyBorder="1"/>
    <xf numFmtId="0" fontId="21" fillId="20" borderId="54" xfId="0" applyFont="1" applyFill="1" applyBorder="1" applyAlignment="1">
      <alignment horizontal="right"/>
    </xf>
    <xf numFmtId="3" fontId="21" fillId="20" borderId="3" xfId="0" applyNumberFormat="1" applyFont="1" applyFill="1" applyBorder="1"/>
    <xf numFmtId="4" fontId="21" fillId="20" borderId="3" xfId="0" applyNumberFormat="1" applyFont="1" applyFill="1" applyBorder="1"/>
    <xf numFmtId="4" fontId="21" fillId="20" borderId="13" xfId="0" applyNumberFormat="1" applyFont="1" applyFill="1" applyBorder="1"/>
    <xf numFmtId="3" fontId="21" fillId="20" borderId="9" xfId="0" applyNumberFormat="1" applyFont="1" applyFill="1" applyBorder="1"/>
    <xf numFmtId="4" fontId="21" fillId="20" borderId="9" xfId="0" applyNumberFormat="1" applyFont="1" applyFill="1" applyBorder="1"/>
    <xf numFmtId="3" fontId="21" fillId="20" borderId="51" xfId="0" applyNumberFormat="1" applyFont="1" applyFill="1" applyBorder="1"/>
    <xf numFmtId="0" fontId="21" fillId="0" borderId="0" xfId="0" applyFont="1"/>
    <xf numFmtId="0" fontId="21" fillId="8" borderId="0" xfId="0" applyFont="1" applyFill="1"/>
    <xf numFmtId="3" fontId="21" fillId="16" borderId="13" xfId="0" applyNumberFormat="1" applyFont="1" applyFill="1" applyBorder="1"/>
    <xf numFmtId="4" fontId="21" fillId="16" borderId="13" xfId="0" applyNumberFormat="1" applyFont="1" applyFill="1" applyBorder="1"/>
    <xf numFmtId="3" fontId="7" fillId="16" borderId="5" xfId="0" applyNumberFormat="1" applyFont="1" applyFill="1" applyBorder="1"/>
    <xf numFmtId="0" fontId="13" fillId="20" borderId="54" xfId="0" applyFont="1" applyFill="1" applyBorder="1" applyAlignment="1">
      <alignment horizontal="right"/>
    </xf>
    <xf numFmtId="4" fontId="13" fillId="20" borderId="9" xfId="0" applyNumberFormat="1" applyFont="1" applyFill="1" applyBorder="1"/>
    <xf numFmtId="3" fontId="13" fillId="20" borderId="9" xfId="0" applyNumberFormat="1" applyFont="1" applyFill="1" applyBorder="1"/>
    <xf numFmtId="3" fontId="13" fillId="20" borderId="51" xfId="0" applyNumberFormat="1" applyFont="1" applyFill="1" applyBorder="1"/>
    <xf numFmtId="16" fontId="7" fillId="19" borderId="54" xfId="0" applyNumberFormat="1" applyFont="1" applyFill="1" applyBorder="1" applyAlignment="1">
      <alignment horizontal="right"/>
    </xf>
    <xf numFmtId="3" fontId="7" fillId="19" borderId="3" xfId="0" applyNumberFormat="1" applyFont="1" applyFill="1" applyBorder="1"/>
    <xf numFmtId="4" fontId="7" fillId="19" borderId="3" xfId="0" applyNumberFormat="1" applyFont="1" applyFill="1" applyBorder="1"/>
    <xf numFmtId="3" fontId="21" fillId="19" borderId="3" xfId="0" applyNumberFormat="1" applyFont="1" applyFill="1" applyBorder="1"/>
    <xf numFmtId="3" fontId="21" fillId="19" borderId="9" xfId="0" applyNumberFormat="1" applyFont="1" applyFill="1" applyBorder="1"/>
    <xf numFmtId="4" fontId="21" fillId="19" borderId="9" xfId="0" applyNumberFormat="1" applyFont="1" applyFill="1" applyBorder="1"/>
    <xf numFmtId="3" fontId="7" fillId="19" borderId="9" xfId="0" applyNumberFormat="1" applyFont="1" applyFill="1" applyBorder="1"/>
    <xf numFmtId="3" fontId="7" fillId="19" borderId="5" xfId="0" applyNumberFormat="1" applyFont="1" applyFill="1" applyBorder="1"/>
    <xf numFmtId="3" fontId="7" fillId="19" borderId="44" xfId="0" applyNumberFormat="1" applyFont="1" applyFill="1" applyBorder="1"/>
    <xf numFmtId="16" fontId="7" fillId="0" borderId="54" xfId="0" applyNumberFormat="1" applyFont="1" applyBorder="1" applyAlignment="1">
      <alignment horizontal="right"/>
    </xf>
    <xf numFmtId="3" fontId="21" fillId="0" borderId="3" xfId="0" applyNumberFormat="1" applyFont="1" applyBorder="1"/>
    <xf numFmtId="3" fontId="7" fillId="0" borderId="3" xfId="0" applyNumberFormat="1" applyFont="1" applyBorder="1"/>
    <xf numFmtId="4" fontId="7" fillId="0" borderId="3" xfId="0" applyNumberFormat="1" applyFont="1" applyBorder="1"/>
    <xf numFmtId="4" fontId="21" fillId="0" borderId="9" xfId="0" applyNumberFormat="1" applyFont="1" applyBorder="1"/>
    <xf numFmtId="3" fontId="7" fillId="0" borderId="9" xfId="0" applyNumberFormat="1" applyFont="1" applyBorder="1"/>
    <xf numFmtId="3" fontId="7" fillId="0" borderId="51" xfId="0" applyNumberFormat="1" applyFont="1" applyBorder="1"/>
    <xf numFmtId="3" fontId="7" fillId="0" borderId="13" xfId="0" applyNumberFormat="1" applyFont="1" applyBorder="1"/>
    <xf numFmtId="3" fontId="13" fillId="20" borderId="3" xfId="0" applyNumberFormat="1" applyFont="1" applyFill="1" applyBorder="1"/>
    <xf numFmtId="4" fontId="13" fillId="20" borderId="3" xfId="0" applyNumberFormat="1" applyFont="1" applyFill="1" applyBorder="1"/>
    <xf numFmtId="4" fontId="13" fillId="20" borderId="13" xfId="0" applyNumberFormat="1" applyFont="1" applyFill="1" applyBorder="1"/>
    <xf numFmtId="0" fontId="10" fillId="0" borderId="55" xfId="0" applyFont="1" applyBorder="1" applyAlignment="1">
      <alignment horizontal="right"/>
    </xf>
    <xf numFmtId="0" fontId="10" fillId="0" borderId="55" xfId="0" applyFont="1" applyBorder="1"/>
    <xf numFmtId="3" fontId="10" fillId="0" borderId="45" xfId="0" applyNumberFormat="1" applyFont="1" applyBorder="1"/>
    <xf numFmtId="4" fontId="10" fillId="0" borderId="45" xfId="0" applyNumberFormat="1" applyFont="1" applyBorder="1"/>
    <xf numFmtId="4" fontId="10" fillId="0" borderId="49" xfId="0" applyNumberFormat="1" applyFont="1" applyBorder="1"/>
    <xf numFmtId="3" fontId="10" fillId="0" borderId="52" xfId="0" applyNumberFormat="1" applyFont="1" applyBorder="1"/>
    <xf numFmtId="4" fontId="10" fillId="0" borderId="52" xfId="0" applyNumberFormat="1" applyFont="1" applyBorder="1"/>
    <xf numFmtId="3" fontId="10" fillId="0" borderId="47" xfId="0" applyNumberFormat="1" applyFont="1" applyBorder="1"/>
    <xf numFmtId="3" fontId="10" fillId="0" borderId="46" xfId="0" applyNumberFormat="1" applyFont="1" applyBorder="1"/>
    <xf numFmtId="0" fontId="22" fillId="0" borderId="0" xfId="0" applyFont="1"/>
    <xf numFmtId="165" fontId="25" fillId="18" borderId="16" xfId="0" applyNumberFormat="1" applyFont="1" applyFill="1" applyBorder="1" applyAlignment="1">
      <alignment horizontal="center" vertical="center" wrapText="1"/>
    </xf>
    <xf numFmtId="3" fontId="13" fillId="8" borderId="16" xfId="0" applyNumberFormat="1" applyFont="1" applyFill="1" applyBorder="1"/>
    <xf numFmtId="3" fontId="7" fillId="16" borderId="16" xfId="0" applyNumberFormat="1" applyFont="1" applyFill="1" applyBorder="1"/>
    <xf numFmtId="3" fontId="10" fillId="0" borderId="16" xfId="0" applyNumberFormat="1" applyFont="1" applyBorder="1"/>
    <xf numFmtId="3" fontId="7" fillId="2" borderId="16" xfId="0" applyNumberFormat="1" applyFont="1" applyFill="1" applyBorder="1"/>
    <xf numFmtId="3" fontId="21" fillId="20" borderId="16" xfId="0" applyNumberFormat="1" applyFont="1" applyFill="1" applyBorder="1"/>
    <xf numFmtId="3" fontId="13" fillId="20" borderId="16" xfId="0" applyNumberFormat="1" applyFont="1" applyFill="1" applyBorder="1"/>
    <xf numFmtId="3" fontId="7" fillId="19" borderId="16" xfId="0" applyNumberFormat="1" applyFont="1" applyFill="1" applyBorder="1"/>
    <xf numFmtId="3" fontId="7" fillId="0" borderId="16" xfId="0" applyNumberFormat="1" applyFont="1" applyBorder="1"/>
    <xf numFmtId="3" fontId="10" fillId="0" borderId="59" xfId="0" applyNumberFormat="1" applyFont="1" applyBorder="1"/>
    <xf numFmtId="4" fontId="29" fillId="0" borderId="13" xfId="0" applyNumberFormat="1" applyFont="1" applyBorder="1"/>
    <xf numFmtId="4" fontId="21" fillId="19" borderId="13" xfId="0" applyNumberFormat="1" applyFont="1" applyFill="1" applyBorder="1"/>
    <xf numFmtId="4" fontId="21" fillId="0" borderId="13" xfId="0" applyNumberFormat="1" applyFont="1" applyBorder="1"/>
    <xf numFmtId="3" fontId="7" fillId="16" borderId="54" xfId="0" applyNumberFormat="1" applyFont="1" applyFill="1" applyBorder="1"/>
    <xf numFmtId="166" fontId="10" fillId="0" borderId="3" xfId="0" applyNumberFormat="1" applyFont="1" applyBorder="1"/>
    <xf numFmtId="0" fontId="24" fillId="21" borderId="16" xfId="0" applyFont="1" applyFill="1" applyBorder="1" applyAlignment="1">
      <alignment horizontal="center" vertical="center" wrapText="1"/>
    </xf>
    <xf numFmtId="0" fontId="24" fillId="21" borderId="3" xfId="0" applyFont="1" applyFill="1" applyBorder="1" applyAlignment="1">
      <alignment horizontal="center" vertical="center" wrapText="1"/>
    </xf>
    <xf numFmtId="0" fontId="24" fillId="21" borderId="44" xfId="0" applyFont="1" applyFill="1" applyBorder="1" applyAlignment="1">
      <alignment horizontal="center" vertical="center" wrapText="1"/>
    </xf>
    <xf numFmtId="3" fontId="13" fillId="0" borderId="0" xfId="0" applyNumberFormat="1" applyFont="1"/>
    <xf numFmtId="0" fontId="7" fillId="8" borderId="0" xfId="0" applyFont="1" applyFill="1"/>
    <xf numFmtId="0" fontId="11" fillId="16" borderId="54" xfId="0" applyFont="1" applyFill="1" applyBorder="1" applyAlignment="1">
      <alignment horizontal="right"/>
    </xf>
    <xf numFmtId="3" fontId="10" fillId="16" borderId="3" xfId="0" applyNumberFormat="1" applyFont="1" applyFill="1" applyBorder="1"/>
    <xf numFmtId="0" fontId="7" fillId="16" borderId="3" xfId="0" applyFont="1" applyFill="1" applyBorder="1" applyAlignment="1">
      <alignment horizontal="right"/>
    </xf>
    <xf numFmtId="0" fontId="7" fillId="16" borderId="3" xfId="0" applyFont="1" applyFill="1" applyBorder="1"/>
    <xf numFmtId="0" fontId="10" fillId="0" borderId="3" xfId="0" applyFont="1" applyBorder="1" applyAlignment="1">
      <alignment horizontal="right"/>
    </xf>
    <xf numFmtId="3" fontId="21" fillId="21" borderId="3" xfId="0" applyNumberFormat="1" applyFont="1" applyFill="1" applyBorder="1" applyAlignment="1">
      <alignment horizontal="center" vertical="center" wrapText="1"/>
    </xf>
    <xf numFmtId="0" fontId="30" fillId="0" borderId="0" xfId="0" applyFont="1"/>
    <xf numFmtId="3" fontId="7" fillId="16" borderId="3" xfId="0" applyNumberFormat="1" applyFont="1" applyFill="1" applyBorder="1"/>
    <xf numFmtId="0" fontId="0" fillId="0" borderId="32" xfId="0" applyBorder="1" applyAlignment="1">
      <alignment horizontal="right"/>
    </xf>
    <xf numFmtId="14" fontId="0" fillId="0" borderId="32" xfId="0" applyNumberFormat="1" applyBorder="1" applyAlignment="1">
      <alignment horizontal="right"/>
    </xf>
    <xf numFmtId="0" fontId="10" fillId="15" borderId="54" xfId="0" applyFont="1" applyFill="1" applyBorder="1" applyAlignment="1">
      <alignment horizontal="right"/>
    </xf>
    <xf numFmtId="165" fontId="24" fillId="18" borderId="16" xfId="0" applyNumberFormat="1" applyFont="1" applyFill="1" applyBorder="1" applyAlignment="1">
      <alignment horizontal="center" vertical="center" wrapText="1"/>
    </xf>
    <xf numFmtId="3" fontId="25" fillId="15" borderId="16" xfId="0" applyNumberFormat="1" applyFont="1" applyFill="1" applyBorder="1"/>
    <xf numFmtId="3" fontId="13" fillId="8" borderId="44" xfId="0" applyNumberFormat="1" applyFont="1" applyFill="1" applyBorder="1"/>
    <xf numFmtId="165" fontId="25" fillId="18" borderId="3" xfId="0" applyNumberFormat="1" applyFont="1" applyFill="1" applyBorder="1" applyAlignment="1">
      <alignment horizontal="center" vertical="center" wrapText="1"/>
    </xf>
    <xf numFmtId="165" fontId="25" fillId="18" borderId="44" xfId="0" applyNumberFormat="1" applyFont="1" applyFill="1" applyBorder="1" applyAlignment="1">
      <alignment horizontal="center" vertical="center" wrapText="1"/>
    </xf>
    <xf numFmtId="3" fontId="21" fillId="0" borderId="9" xfId="0" applyNumberFormat="1" applyFont="1" applyBorder="1"/>
    <xf numFmtId="3" fontId="21" fillId="14" borderId="9" xfId="0" applyNumberFormat="1" applyFont="1" applyFill="1" applyBorder="1" applyAlignment="1">
      <alignment horizontal="center" vertical="center" wrapText="1"/>
    </xf>
    <xf numFmtId="0" fontId="21" fillId="13" borderId="16" xfId="0" applyFont="1" applyFill="1" applyBorder="1" applyAlignment="1">
      <alignment horizontal="center" vertical="center" wrapText="1"/>
    </xf>
    <xf numFmtId="3" fontId="25" fillId="18" borderId="16" xfId="0" applyNumberFormat="1" applyFont="1" applyFill="1" applyBorder="1" applyAlignment="1">
      <alignment horizontal="right"/>
    </xf>
    <xf numFmtId="4" fontId="7" fillId="16" borderId="44" xfId="0" applyNumberFormat="1" applyFont="1" applyFill="1" applyBorder="1"/>
    <xf numFmtId="3" fontId="21" fillId="0" borderId="16" xfId="0" applyNumberFormat="1" applyFont="1" applyBorder="1"/>
    <xf numFmtId="4" fontId="10" fillId="0" borderId="44" xfId="0" applyNumberFormat="1" applyFont="1" applyBorder="1"/>
    <xf numFmtId="0" fontId="25" fillId="18" borderId="54" xfId="0" applyFont="1" applyFill="1" applyBorder="1" applyAlignment="1">
      <alignment horizontal="left" vertical="center"/>
    </xf>
    <xf numFmtId="0" fontId="25" fillId="5" borderId="54" xfId="0" applyFont="1" applyFill="1" applyBorder="1"/>
    <xf numFmtId="0" fontId="13" fillId="8" borderId="54" xfId="0" applyFont="1" applyFill="1" applyBorder="1"/>
    <xf numFmtId="0" fontId="7" fillId="16" borderId="54" xfId="0" applyFont="1" applyFill="1" applyBorder="1"/>
    <xf numFmtId="0" fontId="10" fillId="0" borderId="54" xfId="0" applyFont="1" applyBorder="1"/>
    <xf numFmtId="0" fontId="27" fillId="0" borderId="54" xfId="0" applyFont="1" applyBorder="1"/>
    <xf numFmtId="0" fontId="28" fillId="0" borderId="54" xfId="0" applyFont="1" applyBorder="1"/>
    <xf numFmtId="0" fontId="0" fillId="0" borderId="13" xfId="0" applyBorder="1"/>
    <xf numFmtId="0" fontId="21" fillId="20" borderId="54" xfId="0" applyFont="1" applyFill="1" applyBorder="1"/>
    <xf numFmtId="0" fontId="7" fillId="16" borderId="5" xfId="0" applyFont="1" applyFill="1" applyBorder="1"/>
    <xf numFmtId="0" fontId="10" fillId="0" borderId="5" xfId="0" applyFont="1" applyBorder="1"/>
    <xf numFmtId="0" fontId="21" fillId="19" borderId="54" xfId="0" applyFont="1" applyFill="1" applyBorder="1"/>
    <xf numFmtId="0" fontId="21" fillId="0" borderId="54" xfId="0" applyFont="1" applyBorder="1"/>
    <xf numFmtId="4" fontId="24" fillId="13" borderId="51" xfId="0" applyNumberFormat="1" applyFont="1" applyFill="1" applyBorder="1" applyAlignment="1">
      <alignment horizontal="center" vertical="center" wrapText="1"/>
    </xf>
    <xf numFmtId="4" fontId="25" fillId="18" borderId="51" xfId="0" applyNumberFormat="1" applyFont="1" applyFill="1" applyBorder="1" applyAlignment="1">
      <alignment horizontal="right"/>
    </xf>
    <xf numFmtId="3" fontId="31" fillId="5" borderId="16" xfId="0" applyNumberFormat="1" applyFont="1" applyFill="1" applyBorder="1"/>
    <xf numFmtId="4" fontId="25" fillId="5" borderId="51" xfId="0" applyNumberFormat="1" applyFont="1" applyFill="1" applyBorder="1"/>
    <xf numFmtId="4" fontId="13" fillId="8" borderId="51" xfId="0" applyNumberFormat="1" applyFont="1" applyFill="1" applyBorder="1"/>
    <xf numFmtId="4" fontId="7" fillId="16" borderId="51" xfId="0" applyNumberFormat="1" applyFont="1" applyFill="1" applyBorder="1"/>
    <xf numFmtId="4" fontId="10" fillId="0" borderId="51" xfId="0" applyNumberFormat="1" applyFont="1" applyBorder="1"/>
    <xf numFmtId="4" fontId="7" fillId="2" borderId="51" xfId="0" applyNumberFormat="1" applyFont="1" applyFill="1" applyBorder="1"/>
    <xf numFmtId="4" fontId="21" fillId="20" borderId="51" xfId="0" applyNumberFormat="1" applyFont="1" applyFill="1" applyBorder="1"/>
    <xf numFmtId="4" fontId="7" fillId="19" borderId="51" xfId="0" applyNumberFormat="1" applyFont="1" applyFill="1" applyBorder="1"/>
    <xf numFmtId="4" fontId="7" fillId="0" borderId="51" xfId="0" applyNumberFormat="1" applyFont="1" applyBorder="1"/>
    <xf numFmtId="4" fontId="13" fillId="20" borderId="51" xfId="0" applyNumberFormat="1" applyFont="1" applyFill="1" applyBorder="1"/>
    <xf numFmtId="4" fontId="10" fillId="0" borderId="63" xfId="0" applyNumberFormat="1" applyFont="1" applyBorder="1"/>
    <xf numFmtId="3" fontId="7" fillId="2" borderId="44" xfId="0" applyNumberFormat="1" applyFont="1" applyFill="1" applyBorder="1"/>
    <xf numFmtId="3" fontId="5" fillId="0" borderId="0" xfId="0" applyNumberFormat="1" applyFont="1"/>
    <xf numFmtId="3" fontId="6" fillId="18" borderId="3" xfId="0" applyNumberFormat="1" applyFont="1" applyFill="1" applyBorder="1" applyAlignment="1">
      <alignment horizontal="right"/>
    </xf>
    <xf numFmtId="3" fontId="6" fillId="5" borderId="3" xfId="0" applyNumberFormat="1" applyFont="1" applyFill="1" applyBorder="1"/>
    <xf numFmtId="3" fontId="2" fillId="8" borderId="3" xfId="0" applyNumberFormat="1" applyFont="1" applyFill="1" applyBorder="1"/>
    <xf numFmtId="3" fontId="1" fillId="20" borderId="3" xfId="0" applyNumberFormat="1" applyFont="1" applyFill="1" applyBorder="1"/>
    <xf numFmtId="3" fontId="1" fillId="16" borderId="3" xfId="0" applyNumberFormat="1" applyFont="1" applyFill="1" applyBorder="1"/>
    <xf numFmtId="3" fontId="3" fillId="19" borderId="3" xfId="0" applyNumberFormat="1" applyFont="1" applyFill="1" applyBorder="1"/>
    <xf numFmtId="3" fontId="0" fillId="16" borderId="3" xfId="0" applyNumberFormat="1" applyFill="1" applyBorder="1"/>
    <xf numFmtId="3" fontId="3" fillId="0" borderId="3" xfId="0" applyNumberFormat="1" applyFont="1" applyBorder="1"/>
    <xf numFmtId="3" fontId="2" fillId="20" borderId="3" xfId="0" applyNumberFormat="1" applyFont="1" applyFill="1" applyBorder="1"/>
    <xf numFmtId="3" fontId="0" fillId="0" borderId="45" xfId="0" applyNumberFormat="1" applyBorder="1"/>
    <xf numFmtId="49" fontId="10" fillId="15" borderId="54" xfId="0" applyNumberFormat="1" applyFont="1" applyFill="1" applyBorder="1" applyAlignment="1">
      <alignment horizontal="right"/>
    </xf>
    <xf numFmtId="0" fontId="0" fillId="15" borderId="3" xfId="0" applyFill="1" applyBorder="1"/>
    <xf numFmtId="3" fontId="29" fillId="0" borderId="9" xfId="0" applyNumberFormat="1" applyFont="1" applyBorder="1"/>
    <xf numFmtId="3" fontId="21" fillId="6" borderId="3" xfId="0" applyNumberFormat="1" applyFont="1" applyFill="1" applyBorder="1" applyAlignment="1">
      <alignment horizontal="center" vertical="center" wrapText="1"/>
    </xf>
    <xf numFmtId="0" fontId="13" fillId="13" borderId="54" xfId="0" applyFont="1" applyFill="1" applyBorder="1" applyAlignment="1">
      <alignment horizontal="right"/>
    </xf>
    <xf numFmtId="3" fontId="7" fillId="16" borderId="13" xfId="0" applyNumberFormat="1" applyFont="1" applyFill="1" applyBorder="1"/>
    <xf numFmtId="0" fontId="19" fillId="0" borderId="54" xfId="0" applyFont="1" applyBorder="1" applyAlignment="1">
      <alignment horizontal="right"/>
    </xf>
    <xf numFmtId="0" fontId="19" fillId="0" borderId="54" xfId="0" applyFont="1" applyBorder="1"/>
    <xf numFmtId="0" fontId="10" fillId="0" borderId="44" xfId="0" applyFont="1" applyBorder="1"/>
    <xf numFmtId="3" fontId="25" fillId="15" borderId="3" xfId="0" applyNumberFormat="1" applyFont="1" applyFill="1" applyBorder="1"/>
    <xf numFmtId="3" fontId="25" fillId="15" borderId="44" xfId="0" applyNumberFormat="1" applyFont="1" applyFill="1" applyBorder="1"/>
    <xf numFmtId="3" fontId="21" fillId="20" borderId="44" xfId="0" applyNumberFormat="1" applyFont="1" applyFill="1" applyBorder="1"/>
    <xf numFmtId="3" fontId="13" fillId="20" borderId="44" xfId="0" applyNumberFormat="1" applyFont="1" applyFill="1" applyBorder="1"/>
    <xf numFmtId="3" fontId="7" fillId="0" borderId="44" xfId="0" applyNumberFormat="1" applyFont="1" applyBorder="1"/>
    <xf numFmtId="0" fontId="0" fillId="15" borderId="13" xfId="0" applyFill="1" applyBorder="1"/>
    <xf numFmtId="3" fontId="10" fillId="13" borderId="16" xfId="0" applyNumberFormat="1" applyFont="1" applyFill="1" applyBorder="1"/>
    <xf numFmtId="3" fontId="10" fillId="13" borderId="3" xfId="0" applyNumberFormat="1" applyFont="1" applyFill="1" applyBorder="1"/>
    <xf numFmtId="3" fontId="10" fillId="6" borderId="44" xfId="0" applyNumberFormat="1" applyFont="1" applyFill="1" applyBorder="1"/>
    <xf numFmtId="3" fontId="10" fillId="7" borderId="16" xfId="0" applyNumberFormat="1" applyFont="1" applyFill="1" applyBorder="1"/>
    <xf numFmtId="0" fontId="34" fillId="0" borderId="0" xfId="0" applyFont="1" applyAlignment="1">
      <alignment horizontal="right"/>
    </xf>
    <xf numFmtId="0" fontId="34" fillId="0" borderId="0" xfId="0" applyFont="1"/>
    <xf numFmtId="3" fontId="34" fillId="0" borderId="0" xfId="0" applyNumberFormat="1" applyFont="1"/>
    <xf numFmtId="3" fontId="34" fillId="9" borderId="0" xfId="0" applyNumberFormat="1" applyFont="1" applyFill="1"/>
    <xf numFmtId="0" fontId="23" fillId="0" borderId="0" xfId="0" applyFont="1"/>
    <xf numFmtId="3" fontId="23" fillId="8" borderId="3" xfId="0" applyNumberFormat="1" applyFont="1" applyFill="1" applyBorder="1"/>
    <xf numFmtId="0" fontId="23" fillId="8" borderId="0" xfId="0" applyFont="1" applyFill="1"/>
    <xf numFmtId="3" fontId="23" fillId="16" borderId="3" xfId="0" applyNumberFormat="1" applyFont="1" applyFill="1" applyBorder="1"/>
    <xf numFmtId="0" fontId="23" fillId="16" borderId="0" xfId="0" applyFont="1" applyFill="1"/>
    <xf numFmtId="3" fontId="34" fillId="0" borderId="3" xfId="0" applyNumberFormat="1" applyFont="1" applyBorder="1"/>
    <xf numFmtId="0" fontId="34" fillId="0" borderId="3" xfId="0" applyFont="1" applyBorder="1"/>
    <xf numFmtId="0" fontId="35" fillId="0" borderId="0" xfId="0" applyFont="1"/>
    <xf numFmtId="3" fontId="35" fillId="22" borderId="3" xfId="0" applyNumberFormat="1" applyFont="1" applyFill="1" applyBorder="1"/>
    <xf numFmtId="0" fontId="35" fillId="8" borderId="0" xfId="0" applyFont="1" applyFill="1"/>
    <xf numFmtId="0" fontId="23" fillId="23" borderId="3" xfId="0" applyFont="1" applyFill="1" applyBorder="1" applyAlignment="1">
      <alignment horizontal="center" vertical="center" wrapText="1"/>
    </xf>
    <xf numFmtId="0" fontId="34" fillId="0" borderId="3" xfId="0" applyFont="1" applyBorder="1" applyAlignment="1">
      <alignment horizontal="right"/>
    </xf>
    <xf numFmtId="2" fontId="29" fillId="0" borderId="0" xfId="0" applyNumberFormat="1" applyFont="1"/>
    <xf numFmtId="4" fontId="29" fillId="0" borderId="0" xfId="0" applyNumberFormat="1" applyFont="1"/>
    <xf numFmtId="2" fontId="7" fillId="13" borderId="3" xfId="0" applyNumberFormat="1" applyFont="1" applyFill="1" applyBorder="1" applyAlignment="1">
      <alignment horizontal="center" vertical="center" wrapText="1"/>
    </xf>
    <xf numFmtId="2" fontId="7" fillId="8" borderId="3" xfId="0" applyNumberFormat="1" applyFont="1" applyFill="1" applyBorder="1"/>
    <xf numFmtId="2" fontId="7" fillId="16" borderId="3" xfId="0" applyNumberFormat="1" applyFont="1" applyFill="1" applyBorder="1"/>
    <xf numFmtId="2" fontId="29" fillId="0" borderId="3" xfId="0" applyNumberFormat="1" applyFont="1" applyBorder="1"/>
    <xf numFmtId="2" fontId="36" fillId="22" borderId="3" xfId="0" applyNumberFormat="1" applyFont="1" applyFill="1" applyBorder="1"/>
    <xf numFmtId="4" fontId="29" fillId="0" borderId="3" xfId="0" applyNumberFormat="1" applyFont="1" applyBorder="1"/>
    <xf numFmtId="2" fontId="7" fillId="14" borderId="3" xfId="0" applyNumberFormat="1" applyFont="1" applyFill="1" applyBorder="1" applyAlignment="1">
      <alignment horizontal="center" vertical="center" wrapText="1"/>
    </xf>
    <xf numFmtId="3" fontId="29" fillId="0" borderId="0" xfId="0" applyNumberFormat="1" applyFont="1"/>
    <xf numFmtId="4" fontId="36" fillId="22" borderId="3" xfId="0" applyNumberFormat="1" applyFont="1" applyFill="1" applyBorder="1"/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3" fontId="7" fillId="13" borderId="3" xfId="0" applyNumberFormat="1" applyFont="1" applyFill="1" applyBorder="1" applyAlignment="1">
      <alignment horizontal="center" vertical="center" wrapText="1"/>
    </xf>
    <xf numFmtId="3" fontId="7" fillId="14" borderId="3" xfId="0" applyNumberFormat="1" applyFont="1" applyFill="1" applyBorder="1" applyAlignment="1">
      <alignment horizontal="center" vertical="center" wrapText="1"/>
    </xf>
    <xf numFmtId="0" fontId="23" fillId="8" borderId="3" xfId="0" applyFont="1" applyFill="1" applyBorder="1"/>
    <xf numFmtId="16" fontId="23" fillId="16" borderId="3" xfId="0" applyNumberFormat="1" applyFont="1" applyFill="1" applyBorder="1" applyAlignment="1">
      <alignment horizontal="right"/>
    </xf>
    <xf numFmtId="0" fontId="23" fillId="16" borderId="3" xfId="0" applyFont="1" applyFill="1" applyBorder="1"/>
    <xf numFmtId="16" fontId="34" fillId="0" borderId="3" xfId="0" applyNumberFormat="1" applyFont="1" applyBorder="1" applyAlignment="1">
      <alignment horizontal="right"/>
    </xf>
    <xf numFmtId="0" fontId="35" fillId="22" borderId="3" xfId="0" applyFont="1" applyFill="1" applyBorder="1" applyAlignment="1">
      <alignment horizontal="right"/>
    </xf>
    <xf numFmtId="0" fontId="35" fillId="22" borderId="3" xfId="0" applyFont="1" applyFill="1" applyBorder="1"/>
    <xf numFmtId="49" fontId="29" fillId="0" borderId="0" xfId="0" applyNumberFormat="1" applyFont="1"/>
    <xf numFmtId="4" fontId="7" fillId="8" borderId="3" xfId="0" applyNumberFormat="1" applyFont="1" applyFill="1" applyBorder="1" applyAlignment="1">
      <alignment horizontal="right"/>
    </xf>
    <xf numFmtId="0" fontId="23" fillId="8" borderId="3" xfId="0" applyFont="1" applyFill="1" applyBorder="1" applyAlignment="1">
      <alignment horizontal="right"/>
    </xf>
    <xf numFmtId="3" fontId="23" fillId="0" borderId="0" xfId="0" applyNumberFormat="1" applyFont="1"/>
    <xf numFmtId="3" fontId="23" fillId="6" borderId="3" xfId="0" applyNumberFormat="1" applyFont="1" applyFill="1" applyBorder="1" applyAlignment="1">
      <alignment horizontal="center" vertical="center" wrapText="1"/>
    </xf>
    <xf numFmtId="3" fontId="36" fillId="22" borderId="3" xfId="0" applyNumberFormat="1" applyFont="1" applyFill="1" applyBorder="1"/>
    <xf numFmtId="3" fontId="23" fillId="22" borderId="3" xfId="0" applyNumberFormat="1" applyFont="1" applyFill="1" applyBorder="1" applyAlignment="1">
      <alignment horizontal="center" vertical="center" wrapText="1"/>
    </xf>
    <xf numFmtId="4" fontId="40" fillId="0" borderId="0" xfId="0" applyNumberFormat="1" applyFont="1"/>
    <xf numFmtId="0" fontId="0" fillId="14" borderId="13" xfId="0" applyFill="1" applyBorder="1" applyAlignment="1">
      <alignment horizontal="center" vertical="center"/>
    </xf>
    <xf numFmtId="0" fontId="23" fillId="13" borderId="5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38" xfId="0" applyFont="1" applyFill="1" applyBorder="1" applyAlignment="1">
      <alignment horizontal="center" vertical="center"/>
    </xf>
    <xf numFmtId="0" fontId="1" fillId="9" borderId="8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0" fontId="1" fillId="9" borderId="21" xfId="0" applyFont="1" applyFill="1" applyBorder="1" applyAlignment="1">
      <alignment horizontal="center" vertical="center"/>
    </xf>
    <xf numFmtId="0" fontId="21" fillId="14" borderId="8" xfId="0" applyFont="1" applyFill="1" applyBorder="1" applyAlignment="1">
      <alignment horizontal="center" vertical="center"/>
    </xf>
    <xf numFmtId="0" fontId="21" fillId="14" borderId="1" xfId="0" applyFont="1" applyFill="1" applyBorder="1" applyAlignment="1">
      <alignment horizontal="center" vertical="center"/>
    </xf>
    <xf numFmtId="0" fontId="21" fillId="14" borderId="4" xfId="0" applyFont="1" applyFill="1" applyBorder="1" applyAlignment="1">
      <alignment horizontal="center" vertical="center"/>
    </xf>
    <xf numFmtId="0" fontId="21" fillId="14" borderId="21" xfId="0" applyFont="1" applyFill="1" applyBorder="1" applyAlignment="1">
      <alignment horizontal="center" vertical="center"/>
    </xf>
    <xf numFmtId="0" fontId="4" fillId="6" borderId="43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" fillId="13" borderId="43" xfId="0" applyFont="1" applyFill="1" applyBorder="1" applyAlignment="1">
      <alignment horizontal="center" vertical="center"/>
    </xf>
    <xf numFmtId="0" fontId="0" fillId="13" borderId="14" xfId="0" applyFill="1" applyBorder="1" applyAlignment="1">
      <alignment horizontal="center" vertical="center"/>
    </xf>
    <xf numFmtId="0" fontId="0" fillId="13" borderId="38" xfId="0" applyFill="1" applyBorder="1" applyAlignment="1">
      <alignment horizontal="center" vertical="center"/>
    </xf>
    <xf numFmtId="0" fontId="13" fillId="0" borderId="58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13" fillId="0" borderId="48" xfId="0" applyFont="1" applyBorder="1" applyAlignment="1">
      <alignment vertical="center"/>
    </xf>
    <xf numFmtId="0" fontId="13" fillId="0" borderId="50" xfId="0" applyFont="1" applyBorder="1" applyAlignment="1">
      <alignment vertical="center"/>
    </xf>
    <xf numFmtId="3" fontId="13" fillId="0" borderId="48" xfId="0" applyNumberFormat="1" applyFont="1" applyBorder="1" applyAlignment="1">
      <alignment horizontal="center" vertical="center"/>
    </xf>
    <xf numFmtId="0" fontId="13" fillId="21" borderId="62" xfId="0" applyFont="1" applyFill="1" applyBorder="1" applyAlignment="1">
      <alignment horizontal="center" vertical="center"/>
    </xf>
    <xf numFmtId="0" fontId="13" fillId="21" borderId="60" xfId="0" applyFont="1" applyFill="1" applyBorder="1" applyAlignment="1">
      <alignment horizontal="center" vertical="center"/>
    </xf>
    <xf numFmtId="0" fontId="13" fillId="21" borderId="61" xfId="0" applyFont="1" applyFill="1" applyBorder="1" applyAlignment="1">
      <alignment horizontal="center" vertical="center"/>
    </xf>
    <xf numFmtId="0" fontId="23" fillId="17" borderId="48" xfId="0" applyFont="1" applyFill="1" applyBorder="1" applyAlignment="1">
      <alignment horizontal="center" vertical="center"/>
    </xf>
    <xf numFmtId="0" fontId="23" fillId="17" borderId="50" xfId="0" applyFont="1" applyFill="1" applyBorder="1" applyAlignment="1">
      <alignment horizontal="center" vertical="center"/>
    </xf>
    <xf numFmtId="0" fontId="37" fillId="13" borderId="3" xfId="0" applyFont="1" applyFill="1" applyBorder="1" applyAlignment="1">
      <alignment horizontal="center" vertical="center"/>
    </xf>
    <xf numFmtId="0" fontId="37" fillId="14" borderId="5" xfId="0" applyFont="1" applyFill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3" fontId="37" fillId="6" borderId="3" xfId="0" applyNumberFormat="1" applyFont="1" applyFill="1" applyBorder="1" applyAlignment="1">
      <alignment horizontal="center" vertical="center"/>
    </xf>
    <xf numFmtId="3" fontId="37" fillId="22" borderId="3" xfId="0" applyNumberFormat="1" applyFont="1" applyFill="1" applyBorder="1" applyAlignment="1">
      <alignment horizontal="center" vertical="center"/>
    </xf>
  </cellXfs>
  <cellStyles count="5">
    <cellStyle name="Navadno" xfId="0" builtinId="0"/>
    <cellStyle name="S12" xfId="4" xr:uid="{00000000-0005-0000-0000-000001000000}"/>
    <cellStyle name="S13" xfId="3" xr:uid="{00000000-0005-0000-0000-000002000000}"/>
    <cellStyle name="S6" xfId="1" xr:uid="{00000000-0005-0000-0000-000003000000}"/>
    <cellStyle name="S7" xfId="2" xr:uid="{00000000-0005-0000-0000-000004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U572"/>
  <sheetViews>
    <sheetView zoomScale="90" zoomScaleNormal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J4" sqref="J4"/>
    </sheetView>
  </sheetViews>
  <sheetFormatPr defaultRowHeight="15" outlineLevelRow="1" x14ac:dyDescent="0.25"/>
  <cols>
    <col min="1" max="1" width="9.140625" style="1"/>
    <col min="2" max="2" width="52.28515625" customWidth="1"/>
    <col min="3" max="3" width="26.28515625" customWidth="1"/>
    <col min="4" max="4" width="5.28515625" customWidth="1"/>
    <col min="5" max="5" width="9.140625" bestFit="1" customWidth="1"/>
    <col min="6" max="6" width="15.7109375" customWidth="1"/>
    <col min="7" max="7" width="9.5703125" style="66" bestFit="1" customWidth="1"/>
    <col min="8" max="8" width="15.7109375" bestFit="1" customWidth="1"/>
    <col min="9" max="9" width="10.140625" style="66" bestFit="1" customWidth="1"/>
    <col min="10" max="10" width="10.28515625" style="66" bestFit="1" customWidth="1"/>
    <col min="11" max="11" width="10.42578125" style="66" bestFit="1" customWidth="1"/>
    <col min="12" max="12" width="11.7109375" style="66" bestFit="1" customWidth="1"/>
    <col min="13" max="13" width="10" style="66" customWidth="1"/>
    <col min="14" max="14" width="10" style="66" bestFit="1" customWidth="1"/>
    <col min="15" max="15" width="9.7109375" style="66" bestFit="1" customWidth="1"/>
    <col min="16" max="16" width="9.7109375" style="66" customWidth="1"/>
    <col min="17" max="17" width="8.7109375" style="66" customWidth="1"/>
    <col min="18" max="18" width="20.28515625" bestFit="1" customWidth="1"/>
    <col min="19" max="19" width="20.140625" customWidth="1"/>
    <col min="20" max="20" width="15.7109375" customWidth="1"/>
  </cols>
  <sheetData>
    <row r="1" spans="1:20" ht="15.75" thickTop="1" x14ac:dyDescent="0.25">
      <c r="A1" s="34"/>
      <c r="B1" s="35"/>
      <c r="C1" s="579" t="s">
        <v>883</v>
      </c>
      <c r="D1" s="579"/>
      <c r="E1" s="579"/>
      <c r="F1" s="580"/>
      <c r="G1" s="73" t="s">
        <v>92</v>
      </c>
      <c r="H1" s="14"/>
      <c r="I1" s="575" t="s">
        <v>884</v>
      </c>
      <c r="J1" s="576"/>
      <c r="K1" s="576"/>
      <c r="L1" s="576"/>
      <c r="M1" s="576"/>
      <c r="N1" s="576"/>
      <c r="O1" s="576"/>
      <c r="P1" s="577"/>
      <c r="Q1" s="578"/>
      <c r="R1" s="577">
        <v>2014</v>
      </c>
      <c r="S1" s="579"/>
      <c r="T1" s="581"/>
    </row>
    <row r="2" spans="1:20" ht="45" x14ac:dyDescent="0.25">
      <c r="A2" s="9" t="s">
        <v>7</v>
      </c>
      <c r="B2" s="11" t="s">
        <v>8</v>
      </c>
      <c r="C2" s="20" t="s">
        <v>94</v>
      </c>
      <c r="D2" s="10" t="s">
        <v>89</v>
      </c>
      <c r="E2" s="10" t="s">
        <v>90</v>
      </c>
      <c r="F2" s="31" t="s">
        <v>93</v>
      </c>
      <c r="G2" s="88" t="s">
        <v>690</v>
      </c>
      <c r="H2" s="19" t="s">
        <v>91</v>
      </c>
      <c r="I2" s="78" t="s">
        <v>44</v>
      </c>
      <c r="J2" s="79" t="s">
        <v>88</v>
      </c>
      <c r="K2" s="79" t="s">
        <v>45</v>
      </c>
      <c r="L2" s="79" t="s">
        <v>46</v>
      </c>
      <c r="M2" s="79" t="s">
        <v>885</v>
      </c>
      <c r="N2" s="79" t="s">
        <v>60</v>
      </c>
      <c r="O2" s="79" t="s">
        <v>886</v>
      </c>
      <c r="P2" s="71" t="s">
        <v>693</v>
      </c>
      <c r="Q2" s="80" t="s">
        <v>47</v>
      </c>
      <c r="R2" s="31" t="s">
        <v>689</v>
      </c>
      <c r="S2" s="31" t="s">
        <v>969</v>
      </c>
      <c r="T2" s="123" t="s">
        <v>970</v>
      </c>
    </row>
    <row r="3" spans="1:20" ht="24" x14ac:dyDescent="0.35">
      <c r="A3" s="96"/>
      <c r="B3" s="97"/>
      <c r="C3" s="98"/>
      <c r="D3" s="99"/>
      <c r="E3" s="99"/>
      <c r="F3" s="100"/>
      <c r="G3" s="101"/>
      <c r="H3" s="41">
        <f t="shared" ref="H3:H30" si="0">SUM(I3:Q3)</f>
        <v>1662389</v>
      </c>
      <c r="I3" s="102">
        <v>582000</v>
      </c>
      <c r="J3" s="103">
        <f>478525+47164+2300</f>
        <v>527989</v>
      </c>
      <c r="K3" s="103">
        <f>326000*0.85</f>
        <v>277100</v>
      </c>
      <c r="L3" s="103">
        <f>228000*0.85</f>
        <v>193800</v>
      </c>
      <c r="M3" s="103">
        <v>20000</v>
      </c>
      <c r="N3" s="103">
        <v>50000</v>
      </c>
      <c r="O3" s="103">
        <v>11500</v>
      </c>
      <c r="P3" s="104"/>
      <c r="Q3" s="107" t="s">
        <v>953</v>
      </c>
      <c r="R3" s="100"/>
      <c r="S3" s="100"/>
      <c r="T3" s="124"/>
    </row>
    <row r="4" spans="1:20" s="42" customFormat="1" ht="23.25" x14ac:dyDescent="0.35">
      <c r="A4" s="36"/>
      <c r="B4" s="37" t="s">
        <v>76</v>
      </c>
      <c r="C4" s="39"/>
      <c r="D4" s="40"/>
      <c r="E4" s="40"/>
      <c r="F4" s="83">
        <f>F5+F23+F37+F84+F149+F166+F207+F228+F252+F264+F317+F350+F370+F393+F426+F446+F473+F493+F510</f>
        <v>1971570.2</v>
      </c>
      <c r="G4" s="89">
        <f>H4-F4</f>
        <v>6634.5084807497915</v>
      </c>
      <c r="H4" s="41">
        <f>SUM(I4:Q4)</f>
        <v>1978204.7084807497</v>
      </c>
      <c r="I4" s="48">
        <f t="shared" ref="I4:S4" si="1">I5+I23+I37+I84+I149+I166+I207+I228+I252+I264+I317+I350+I370+I393+I426+I446+I473+I493+I510</f>
        <v>592925.86199999996</v>
      </c>
      <c r="J4" s="49">
        <f>J5+J23+J37+J84+J149+J166+J207+J228+J252+J264+J317+J350+J370+J393+J426+J446+J473+J493+J510</f>
        <v>551233</v>
      </c>
      <c r="K4" s="49">
        <f t="shared" si="1"/>
        <v>282687.07199999999</v>
      </c>
      <c r="L4" s="49">
        <f t="shared" si="1"/>
        <v>198879.65999999997</v>
      </c>
      <c r="M4" s="49">
        <f t="shared" si="1"/>
        <v>20575</v>
      </c>
      <c r="N4" s="49">
        <f t="shared" si="1"/>
        <v>53030</v>
      </c>
      <c r="O4" s="49">
        <f t="shared" si="1"/>
        <v>10400</v>
      </c>
      <c r="P4" s="49">
        <f t="shared" si="1"/>
        <v>209749.71448074997</v>
      </c>
      <c r="Q4" s="50">
        <f t="shared" si="1"/>
        <v>58724.4</v>
      </c>
      <c r="R4" s="38">
        <f t="shared" si="1"/>
        <v>2111120</v>
      </c>
      <c r="S4" s="38">
        <f t="shared" si="1"/>
        <v>1829085.51</v>
      </c>
      <c r="T4" s="125">
        <f>S4*100/R4</f>
        <v>86.64052777672515</v>
      </c>
    </row>
    <row r="5" spans="1:20" s="2" customFormat="1" ht="21" x14ac:dyDescent="0.35">
      <c r="A5" s="8" t="s">
        <v>325</v>
      </c>
      <c r="B5" s="12" t="s">
        <v>523</v>
      </c>
      <c r="C5" s="21"/>
      <c r="D5" s="22"/>
      <c r="E5" s="22"/>
      <c r="F5" s="84">
        <f>F6+F17</f>
        <v>242741</v>
      </c>
      <c r="G5" s="89">
        <f>H5-F5</f>
        <v>0</v>
      </c>
      <c r="H5" s="16">
        <f t="shared" si="0"/>
        <v>242741</v>
      </c>
      <c r="I5" s="51">
        <f>I6+I17</f>
        <v>236741</v>
      </c>
      <c r="J5" s="52">
        <f t="shared" ref="J5:Q5" si="2">J6+J17</f>
        <v>6000</v>
      </c>
      <c r="K5" s="52">
        <f t="shared" si="2"/>
        <v>0</v>
      </c>
      <c r="L5" s="52">
        <f t="shared" si="2"/>
        <v>0</v>
      </c>
      <c r="M5" s="52">
        <f t="shared" si="2"/>
        <v>0</v>
      </c>
      <c r="N5" s="52">
        <f t="shared" si="2"/>
        <v>0</v>
      </c>
      <c r="O5" s="52">
        <f t="shared" si="2"/>
        <v>0</v>
      </c>
      <c r="P5" s="52">
        <f t="shared" si="2"/>
        <v>0</v>
      </c>
      <c r="Q5" s="53">
        <f t="shared" si="2"/>
        <v>0</v>
      </c>
      <c r="R5" s="32">
        <f>R6+R17</f>
        <v>217059</v>
      </c>
      <c r="S5" s="32">
        <f>S6+S17</f>
        <v>220446.15</v>
      </c>
      <c r="T5" s="126">
        <f>S5*100/R5</f>
        <v>101.56047434107776</v>
      </c>
    </row>
    <row r="6" spans="1:20" s="3" customFormat="1" ht="15.75" x14ac:dyDescent="0.25">
      <c r="A6" s="7" t="s">
        <v>326</v>
      </c>
      <c r="B6" s="13" t="s">
        <v>327</v>
      </c>
      <c r="C6" s="23"/>
      <c r="D6" s="24"/>
      <c r="E6" s="17"/>
      <c r="F6" s="82">
        <f>SUM(F7:F16)</f>
        <v>52600</v>
      </c>
      <c r="G6" s="89">
        <f t="shared" ref="G6:G75" si="3">H6-F6</f>
        <v>0</v>
      </c>
      <c r="H6" s="18">
        <f t="shared" si="0"/>
        <v>52600</v>
      </c>
      <c r="I6" s="54">
        <f>SUM(I7:I16)</f>
        <v>52600</v>
      </c>
      <c r="J6" s="54">
        <f>SUM(J7:J14)</f>
        <v>0</v>
      </c>
      <c r="K6" s="54">
        <f>SUM(K7:K14)</f>
        <v>0</v>
      </c>
      <c r="L6" s="55">
        <f>SUM(L7:L14)</f>
        <v>0</v>
      </c>
      <c r="M6" s="55">
        <f>SUM(M7:M14)</f>
        <v>0</v>
      </c>
      <c r="N6" s="55">
        <f>SUM(N7:N16)</f>
        <v>0</v>
      </c>
      <c r="O6" s="55">
        <f>SUM(O7:O14)</f>
        <v>0</v>
      </c>
      <c r="P6" s="55">
        <f>SUM(P7:P14)</f>
        <v>0</v>
      </c>
      <c r="Q6" s="56">
        <f>SUM(Q7:Q14)</f>
        <v>0</v>
      </c>
      <c r="R6" s="33">
        <v>59786</v>
      </c>
      <c r="S6" s="33">
        <f>84838.95+46356.1+3128.1-73-69538.5</f>
        <v>64711.649999999994</v>
      </c>
      <c r="T6" s="127">
        <f>S6*100/R6</f>
        <v>108.23880172615661</v>
      </c>
    </row>
    <row r="7" spans="1:20" outlineLevel="1" x14ac:dyDescent="0.25">
      <c r="A7" s="4" t="s">
        <v>329</v>
      </c>
      <c r="B7" s="75" t="s">
        <v>525</v>
      </c>
      <c r="C7" s="25"/>
      <c r="D7" s="92">
        <v>1</v>
      </c>
      <c r="E7" s="110">
        <v>15000</v>
      </c>
      <c r="F7" s="93">
        <f>D7*E7</f>
        <v>15000</v>
      </c>
      <c r="G7" s="74">
        <f t="shared" si="3"/>
        <v>0</v>
      </c>
      <c r="H7" s="95">
        <f t="shared" si="0"/>
        <v>15000</v>
      </c>
      <c r="I7" s="112">
        <f>F7</f>
        <v>15000</v>
      </c>
      <c r="J7" s="57"/>
      <c r="K7" s="57"/>
      <c r="L7" s="57"/>
      <c r="M7" s="57"/>
      <c r="N7" s="57"/>
      <c r="O7" s="57"/>
      <c r="P7" s="68"/>
      <c r="Q7" s="58"/>
      <c r="R7" s="76"/>
      <c r="S7" s="76"/>
      <c r="T7" s="128"/>
    </row>
    <row r="8" spans="1:20" outlineLevel="1" x14ac:dyDescent="0.25">
      <c r="A8" s="4" t="s">
        <v>330</v>
      </c>
      <c r="B8" s="75" t="s">
        <v>526</v>
      </c>
      <c r="C8" s="25"/>
      <c r="D8" s="92">
        <v>1</v>
      </c>
      <c r="E8" s="110">
        <v>15000</v>
      </c>
      <c r="F8" s="93">
        <f t="shared" ref="F8:F22" si="4">D8*E8</f>
        <v>15000</v>
      </c>
      <c r="G8" s="74">
        <f t="shared" si="3"/>
        <v>0</v>
      </c>
      <c r="H8" s="95">
        <f t="shared" si="0"/>
        <v>15000</v>
      </c>
      <c r="I8" s="112">
        <f t="shared" ref="I8:I16" si="5">F8</f>
        <v>15000</v>
      </c>
      <c r="J8" s="57"/>
      <c r="K8" s="57"/>
      <c r="L8" s="57"/>
      <c r="M8" s="57"/>
      <c r="N8" s="57"/>
      <c r="O8" s="57"/>
      <c r="P8" s="68"/>
      <c r="Q8" s="58"/>
      <c r="R8" s="76"/>
      <c r="S8" s="76"/>
      <c r="T8" s="128"/>
    </row>
    <row r="9" spans="1:20" outlineLevel="1" x14ac:dyDescent="0.25">
      <c r="A9" s="4" t="s">
        <v>702</v>
      </c>
      <c r="B9" s="75" t="s">
        <v>524</v>
      </c>
      <c r="C9" s="25"/>
      <c r="D9" s="92">
        <v>1</v>
      </c>
      <c r="E9" s="110">
        <v>11000</v>
      </c>
      <c r="F9" s="93">
        <f t="shared" si="4"/>
        <v>11000</v>
      </c>
      <c r="G9" s="74">
        <f t="shared" si="3"/>
        <v>0</v>
      </c>
      <c r="H9" s="95">
        <f t="shared" si="0"/>
        <v>11000</v>
      </c>
      <c r="I9" s="112">
        <f t="shared" si="5"/>
        <v>11000</v>
      </c>
      <c r="J9" s="57"/>
      <c r="K9" s="57"/>
      <c r="L9" s="57"/>
      <c r="M9" s="57"/>
      <c r="N9" s="57"/>
      <c r="O9" s="57"/>
      <c r="P9" s="68"/>
      <c r="Q9" s="58"/>
      <c r="R9" s="76"/>
      <c r="S9" s="76"/>
      <c r="T9" s="128"/>
    </row>
    <row r="10" spans="1:20" outlineLevel="1" x14ac:dyDescent="0.25">
      <c r="A10" s="4" t="s">
        <v>703</v>
      </c>
      <c r="B10" s="75" t="s">
        <v>527</v>
      </c>
      <c r="C10" s="25"/>
      <c r="D10" s="92">
        <v>1</v>
      </c>
      <c r="E10" s="110">
        <v>500</v>
      </c>
      <c r="F10" s="93">
        <f t="shared" si="4"/>
        <v>500</v>
      </c>
      <c r="G10" s="74">
        <f t="shared" si="3"/>
        <v>0</v>
      </c>
      <c r="H10" s="95">
        <f t="shared" si="0"/>
        <v>500</v>
      </c>
      <c r="I10" s="112">
        <f t="shared" si="5"/>
        <v>500</v>
      </c>
      <c r="J10" s="57"/>
      <c r="K10" s="57"/>
      <c r="L10" s="57"/>
      <c r="M10" s="57"/>
      <c r="N10" s="57"/>
      <c r="O10" s="57"/>
      <c r="P10" s="68"/>
      <c r="Q10" s="58"/>
      <c r="R10" s="76"/>
      <c r="S10" s="76"/>
      <c r="T10" s="128"/>
    </row>
    <row r="11" spans="1:20" outlineLevel="1" x14ac:dyDescent="0.25">
      <c r="A11" s="4" t="s">
        <v>704</v>
      </c>
      <c r="B11" s="75" t="s">
        <v>528</v>
      </c>
      <c r="C11" s="25"/>
      <c r="D11" s="92">
        <v>1</v>
      </c>
      <c r="E11" s="110">
        <v>500</v>
      </c>
      <c r="F11" s="93">
        <f t="shared" si="4"/>
        <v>500</v>
      </c>
      <c r="G11" s="74">
        <f t="shared" si="3"/>
        <v>0</v>
      </c>
      <c r="H11" s="95">
        <f t="shared" si="0"/>
        <v>500</v>
      </c>
      <c r="I11" s="112">
        <f t="shared" si="5"/>
        <v>500</v>
      </c>
      <c r="J11" s="57"/>
      <c r="K11" s="57"/>
      <c r="L11" s="57"/>
      <c r="M11" s="57"/>
      <c r="N11" s="57"/>
      <c r="O11" s="57"/>
      <c r="P11" s="68"/>
      <c r="Q11" s="58"/>
      <c r="R11" s="76"/>
      <c r="S11" s="76"/>
      <c r="T11" s="128"/>
    </row>
    <row r="12" spans="1:20" outlineLevel="1" x14ac:dyDescent="0.25">
      <c r="A12" s="4" t="s">
        <v>705</v>
      </c>
      <c r="B12" s="75" t="s">
        <v>529</v>
      </c>
      <c r="C12" s="25"/>
      <c r="D12" s="92">
        <v>1</v>
      </c>
      <c r="E12" s="110">
        <v>1500</v>
      </c>
      <c r="F12" s="93">
        <f t="shared" si="4"/>
        <v>1500</v>
      </c>
      <c r="G12" s="74">
        <f t="shared" si="3"/>
        <v>0</v>
      </c>
      <c r="H12" s="95">
        <f t="shared" si="0"/>
        <v>1500</v>
      </c>
      <c r="I12" s="112">
        <f t="shared" si="5"/>
        <v>1500</v>
      </c>
      <c r="J12" s="57"/>
      <c r="K12" s="57"/>
      <c r="L12" s="57"/>
      <c r="M12" s="57"/>
      <c r="N12" s="57"/>
      <c r="O12" s="57"/>
      <c r="P12" s="68"/>
      <c r="Q12" s="58"/>
      <c r="R12" s="76"/>
      <c r="S12" s="76"/>
      <c r="T12" s="128"/>
    </row>
    <row r="13" spans="1:20" outlineLevel="1" x14ac:dyDescent="0.25">
      <c r="A13" s="4" t="s">
        <v>706</v>
      </c>
      <c r="B13" s="75" t="s">
        <v>530</v>
      </c>
      <c r="C13" s="25"/>
      <c r="D13" s="92">
        <v>1</v>
      </c>
      <c r="E13" s="110">
        <v>50</v>
      </c>
      <c r="F13" s="93">
        <f t="shared" si="4"/>
        <v>50</v>
      </c>
      <c r="G13" s="74">
        <f t="shared" si="3"/>
        <v>0</v>
      </c>
      <c r="H13" s="95">
        <f t="shared" si="0"/>
        <v>50</v>
      </c>
      <c r="I13" s="112">
        <f t="shared" si="5"/>
        <v>50</v>
      </c>
      <c r="J13" s="57"/>
      <c r="K13" s="57"/>
      <c r="L13" s="57"/>
      <c r="M13" s="57"/>
      <c r="N13" s="57"/>
      <c r="O13" s="57"/>
      <c r="P13" s="68"/>
      <c r="Q13" s="58"/>
      <c r="R13" s="76"/>
      <c r="S13" s="76"/>
      <c r="T13" s="128"/>
    </row>
    <row r="14" spans="1:20" outlineLevel="1" x14ac:dyDescent="0.25">
      <c r="A14" s="4" t="s">
        <v>707</v>
      </c>
      <c r="B14" s="75" t="s">
        <v>531</v>
      </c>
      <c r="C14" s="25"/>
      <c r="D14" s="92">
        <v>1</v>
      </c>
      <c r="E14" s="110">
        <v>300</v>
      </c>
      <c r="F14" s="93">
        <f t="shared" si="4"/>
        <v>300</v>
      </c>
      <c r="G14" s="74">
        <f t="shared" si="3"/>
        <v>0</v>
      </c>
      <c r="H14" s="95">
        <f t="shared" si="0"/>
        <v>300</v>
      </c>
      <c r="I14" s="112">
        <f t="shared" si="5"/>
        <v>300</v>
      </c>
      <c r="J14" s="57"/>
      <c r="K14" s="57"/>
      <c r="L14" s="57"/>
      <c r="M14" s="57"/>
      <c r="N14" s="57"/>
      <c r="O14" s="57"/>
      <c r="P14" s="68"/>
      <c r="Q14" s="58"/>
      <c r="R14" s="76"/>
      <c r="S14" s="76"/>
      <c r="T14" s="128"/>
    </row>
    <row r="15" spans="1:20" outlineLevel="1" x14ac:dyDescent="0.25">
      <c r="A15" s="4" t="s">
        <v>708</v>
      </c>
      <c r="B15" s="75" t="s">
        <v>882</v>
      </c>
      <c r="C15" s="25"/>
      <c r="D15" s="92">
        <v>1</v>
      </c>
      <c r="E15" s="110">
        <v>8750</v>
      </c>
      <c r="F15" s="93">
        <f t="shared" si="4"/>
        <v>8750</v>
      </c>
      <c r="G15" s="74">
        <f t="shared" si="3"/>
        <v>0</v>
      </c>
      <c r="H15" s="95">
        <f t="shared" si="0"/>
        <v>8750</v>
      </c>
      <c r="I15" s="112">
        <v>8750</v>
      </c>
      <c r="J15" s="57"/>
      <c r="K15" s="57"/>
      <c r="L15" s="57"/>
      <c r="M15" s="57"/>
      <c r="N15" s="57"/>
      <c r="O15" s="57"/>
      <c r="P15" s="68"/>
      <c r="Q15" s="58"/>
      <c r="R15" s="76"/>
      <c r="S15" s="76"/>
      <c r="T15" s="128"/>
    </row>
    <row r="16" spans="1:20" outlineLevel="1" x14ac:dyDescent="0.25">
      <c r="A16" s="4" t="s">
        <v>709</v>
      </c>
      <c r="B16" s="75" t="s">
        <v>47</v>
      </c>
      <c r="C16" s="25"/>
      <c r="D16" s="92">
        <v>1</v>
      </c>
      <c r="E16" s="110">
        <v>0</v>
      </c>
      <c r="F16" s="93">
        <f t="shared" si="4"/>
        <v>0</v>
      </c>
      <c r="G16" s="74">
        <f t="shared" si="3"/>
        <v>0</v>
      </c>
      <c r="H16" s="95">
        <f t="shared" si="0"/>
        <v>0</v>
      </c>
      <c r="I16" s="112">
        <f t="shared" si="5"/>
        <v>0</v>
      </c>
      <c r="J16" s="57"/>
      <c r="K16" s="57"/>
      <c r="L16" s="57"/>
      <c r="M16" s="57"/>
      <c r="N16" s="57"/>
      <c r="O16" s="57"/>
      <c r="P16" s="68"/>
      <c r="Q16" s="58"/>
      <c r="R16" s="76"/>
      <c r="S16" s="76"/>
      <c r="T16" s="128"/>
    </row>
    <row r="17" spans="1:20" s="3" customFormat="1" ht="15.75" x14ac:dyDescent="0.25">
      <c r="A17" s="7" t="s">
        <v>331</v>
      </c>
      <c r="B17" s="13" t="s">
        <v>328</v>
      </c>
      <c r="C17" s="23"/>
      <c r="D17" s="24"/>
      <c r="E17" s="17"/>
      <c r="F17" s="82">
        <f>SUM(F18:F22)</f>
        <v>190141</v>
      </c>
      <c r="G17" s="89">
        <f t="shared" si="3"/>
        <v>0</v>
      </c>
      <c r="H17" s="18">
        <f t="shared" si="0"/>
        <v>190141</v>
      </c>
      <c r="I17" s="54">
        <f t="shared" ref="I17:Q17" si="6">SUM(I18:I22)</f>
        <v>184141</v>
      </c>
      <c r="J17" s="55">
        <f t="shared" si="6"/>
        <v>6000</v>
      </c>
      <c r="K17" s="55">
        <f t="shared" si="6"/>
        <v>0</v>
      </c>
      <c r="L17" s="55">
        <f t="shared" si="6"/>
        <v>0</v>
      </c>
      <c r="M17" s="55">
        <f t="shared" si="6"/>
        <v>0</v>
      </c>
      <c r="N17" s="55">
        <f t="shared" si="6"/>
        <v>0</v>
      </c>
      <c r="O17" s="55">
        <f t="shared" si="6"/>
        <v>0</v>
      </c>
      <c r="P17" s="55">
        <f t="shared" si="6"/>
        <v>0</v>
      </c>
      <c r="Q17" s="56">
        <f t="shared" si="6"/>
        <v>0</v>
      </c>
      <c r="R17" s="33">
        <v>157273</v>
      </c>
      <c r="S17" s="33">
        <v>155734.5</v>
      </c>
      <c r="T17" s="127">
        <f>S17*100/R17</f>
        <v>99.021764702142136</v>
      </c>
    </row>
    <row r="18" spans="1:20" ht="14.45" customHeight="1" outlineLevel="1" x14ac:dyDescent="0.25">
      <c r="A18" s="4" t="s">
        <v>332</v>
      </c>
      <c r="B18" s="75" t="s">
        <v>532</v>
      </c>
      <c r="C18" s="25"/>
      <c r="D18" s="92">
        <v>1</v>
      </c>
      <c r="E18" s="112">
        <v>31786</v>
      </c>
      <c r="F18" s="93">
        <f t="shared" si="4"/>
        <v>31786</v>
      </c>
      <c r="G18" s="74">
        <f t="shared" si="3"/>
        <v>0</v>
      </c>
      <c r="H18" s="95">
        <f t="shared" si="0"/>
        <v>31786</v>
      </c>
      <c r="I18" s="112">
        <f>F18</f>
        <v>31786</v>
      </c>
      <c r="J18" s="57"/>
      <c r="K18" s="57"/>
      <c r="L18" s="57"/>
      <c r="M18" s="57"/>
      <c r="N18" s="57"/>
      <c r="O18" s="57"/>
      <c r="P18" s="68"/>
      <c r="Q18" s="58"/>
      <c r="R18" s="76"/>
      <c r="S18" s="76"/>
      <c r="T18" s="128"/>
    </row>
    <row r="19" spans="1:20" ht="14.45" customHeight="1" outlineLevel="1" x14ac:dyDescent="0.25">
      <c r="A19" s="4" t="s">
        <v>333</v>
      </c>
      <c r="B19" s="75" t="s">
        <v>533</v>
      </c>
      <c r="C19" s="25"/>
      <c r="D19" s="92">
        <v>1</v>
      </c>
      <c r="E19" s="112">
        <v>79762</v>
      </c>
      <c r="F19" s="93">
        <f t="shared" si="4"/>
        <v>79762</v>
      </c>
      <c r="G19" s="74">
        <f t="shared" si="3"/>
        <v>0</v>
      </c>
      <c r="H19" s="95">
        <f t="shared" si="0"/>
        <v>79762</v>
      </c>
      <c r="I19" s="112">
        <f>F19</f>
        <v>79762</v>
      </c>
      <c r="J19" s="57"/>
      <c r="K19" s="57"/>
      <c r="L19" s="57"/>
      <c r="M19" s="57"/>
      <c r="N19" s="57"/>
      <c r="O19" s="57"/>
      <c r="P19" s="68"/>
      <c r="Q19" s="58"/>
      <c r="R19" s="76"/>
      <c r="S19" s="76"/>
      <c r="T19" s="128"/>
    </row>
    <row r="20" spans="1:20" ht="14.45" customHeight="1" outlineLevel="1" x14ac:dyDescent="0.25">
      <c r="A20" s="4" t="s">
        <v>334</v>
      </c>
      <c r="B20" s="75" t="s">
        <v>534</v>
      </c>
      <c r="C20" s="25"/>
      <c r="D20" s="92">
        <v>1</v>
      </c>
      <c r="E20" s="112">
        <v>6000</v>
      </c>
      <c r="F20" s="93">
        <f t="shared" si="4"/>
        <v>6000</v>
      </c>
      <c r="G20" s="74">
        <f t="shared" si="3"/>
        <v>0</v>
      </c>
      <c r="H20" s="95">
        <f t="shared" si="0"/>
        <v>6000</v>
      </c>
      <c r="I20" s="112"/>
      <c r="J20" s="57">
        <v>6000</v>
      </c>
      <c r="K20" s="57"/>
      <c r="L20" s="57"/>
      <c r="M20" s="57"/>
      <c r="N20" s="57"/>
      <c r="O20" s="57"/>
      <c r="P20" s="68"/>
      <c r="Q20" s="58"/>
      <c r="R20" s="76"/>
      <c r="S20" s="76"/>
      <c r="T20" s="128"/>
    </row>
    <row r="21" spans="1:20" outlineLevel="1" x14ac:dyDescent="0.25">
      <c r="A21" s="4" t="s">
        <v>335</v>
      </c>
      <c r="B21" s="75" t="s">
        <v>958</v>
      </c>
      <c r="C21" s="25"/>
      <c r="D21" s="92">
        <v>1</v>
      </c>
      <c r="E21" s="112">
        <v>72593</v>
      </c>
      <c r="F21" s="93">
        <f t="shared" si="4"/>
        <v>72593</v>
      </c>
      <c r="G21" s="74">
        <f t="shared" si="3"/>
        <v>0</v>
      </c>
      <c r="H21" s="95">
        <f t="shared" si="0"/>
        <v>72593</v>
      </c>
      <c r="I21" s="112">
        <f>F21</f>
        <v>72593</v>
      </c>
      <c r="J21" s="57"/>
      <c r="K21" s="57"/>
      <c r="L21" s="57"/>
      <c r="M21" s="57"/>
      <c r="N21" s="57"/>
      <c r="O21" s="57"/>
      <c r="P21" s="68"/>
      <c r="Q21" s="58"/>
      <c r="R21" s="76"/>
      <c r="S21" s="76"/>
      <c r="T21" s="128"/>
    </row>
    <row r="22" spans="1:20" outlineLevel="1" x14ac:dyDescent="0.25">
      <c r="A22" s="4" t="s">
        <v>336</v>
      </c>
      <c r="B22" s="75" t="s">
        <v>47</v>
      </c>
      <c r="C22" s="25"/>
      <c r="D22" s="92">
        <v>1</v>
      </c>
      <c r="E22" s="110">
        <v>0</v>
      </c>
      <c r="F22" s="93">
        <f t="shared" si="4"/>
        <v>0</v>
      </c>
      <c r="G22" s="74">
        <f t="shared" si="3"/>
        <v>0</v>
      </c>
      <c r="H22" s="95">
        <f t="shared" si="0"/>
        <v>0</v>
      </c>
      <c r="I22" s="112">
        <f>F22</f>
        <v>0</v>
      </c>
      <c r="J22" s="57"/>
      <c r="K22" s="57"/>
      <c r="L22" s="57"/>
      <c r="M22" s="57"/>
      <c r="N22" s="57"/>
      <c r="O22" s="57"/>
      <c r="P22" s="68"/>
      <c r="Q22" s="58"/>
      <c r="R22" s="76"/>
      <c r="S22" s="76"/>
      <c r="T22" s="128"/>
    </row>
    <row r="23" spans="1:20" s="2" customFormat="1" ht="21" x14ac:dyDescent="0.35">
      <c r="A23" s="8" t="s">
        <v>61</v>
      </c>
      <c r="B23" s="12" t="s">
        <v>136</v>
      </c>
      <c r="C23" s="106"/>
      <c r="D23" s="22"/>
      <c r="E23" s="81">
        <f>SUM(E24:E36)</f>
        <v>55753</v>
      </c>
      <c r="F23" s="84">
        <f>F24+F28+F31+F34</f>
        <v>0</v>
      </c>
      <c r="G23" s="89">
        <f t="shared" si="3"/>
        <v>0</v>
      </c>
      <c r="H23" s="16">
        <f t="shared" si="0"/>
        <v>0</v>
      </c>
      <c r="I23" s="51">
        <f t="shared" ref="I23:S23" si="7">I24+I28+I31+I34</f>
        <v>0</v>
      </c>
      <c r="J23" s="51">
        <f t="shared" si="7"/>
        <v>0</v>
      </c>
      <c r="K23" s="51">
        <f t="shared" si="7"/>
        <v>0</v>
      </c>
      <c r="L23" s="51">
        <f t="shared" si="7"/>
        <v>0</v>
      </c>
      <c r="M23" s="51">
        <f t="shared" si="7"/>
        <v>0</v>
      </c>
      <c r="N23" s="51">
        <f t="shared" si="7"/>
        <v>0</v>
      </c>
      <c r="O23" s="51">
        <f t="shared" si="7"/>
        <v>0</v>
      </c>
      <c r="P23" s="51">
        <f t="shared" si="7"/>
        <v>0</v>
      </c>
      <c r="Q23" s="59">
        <f t="shared" si="7"/>
        <v>0</v>
      </c>
      <c r="R23" s="32">
        <f t="shared" si="7"/>
        <v>57000</v>
      </c>
      <c r="S23" s="32">
        <f t="shared" si="7"/>
        <v>56200</v>
      </c>
      <c r="T23" s="126">
        <f>S23*100/R23</f>
        <v>98.596491228070178</v>
      </c>
    </row>
    <row r="24" spans="1:20" s="3" customFormat="1" ht="15.75" x14ac:dyDescent="0.25">
      <c r="A24" s="7" t="s">
        <v>62</v>
      </c>
      <c r="B24" s="13" t="s">
        <v>137</v>
      </c>
      <c r="C24" s="23"/>
      <c r="D24" s="24"/>
      <c r="E24" s="17"/>
      <c r="F24" s="82">
        <f>SUM(F25:F27)</f>
        <v>0</v>
      </c>
      <c r="G24" s="89">
        <f t="shared" si="3"/>
        <v>0</v>
      </c>
      <c r="H24" s="18">
        <f t="shared" si="0"/>
        <v>0</v>
      </c>
      <c r="I24" s="54">
        <f t="shared" ref="I24:Q24" si="8">SUM(I25:I27)</f>
        <v>0</v>
      </c>
      <c r="J24" s="55">
        <f t="shared" si="8"/>
        <v>0</v>
      </c>
      <c r="K24" s="55">
        <f t="shared" si="8"/>
        <v>0</v>
      </c>
      <c r="L24" s="55">
        <f t="shared" si="8"/>
        <v>0</v>
      </c>
      <c r="M24" s="55">
        <f t="shared" si="8"/>
        <v>0</v>
      </c>
      <c r="N24" s="55">
        <f t="shared" si="8"/>
        <v>0</v>
      </c>
      <c r="O24" s="55">
        <f t="shared" si="8"/>
        <v>0</v>
      </c>
      <c r="P24" s="55">
        <f t="shared" si="8"/>
        <v>0</v>
      </c>
      <c r="Q24" s="56">
        <f t="shared" si="8"/>
        <v>0</v>
      </c>
      <c r="R24" s="33">
        <v>11500</v>
      </c>
      <c r="S24" s="33">
        <v>10700</v>
      </c>
      <c r="T24" s="127">
        <f>S24*100/R24</f>
        <v>93.043478260869563</v>
      </c>
    </row>
    <row r="25" spans="1:20" outlineLevel="1" x14ac:dyDescent="0.25">
      <c r="A25" s="5" t="s">
        <v>63</v>
      </c>
      <c r="B25" s="75" t="s">
        <v>141</v>
      </c>
      <c r="C25" s="25" t="s">
        <v>901</v>
      </c>
      <c r="D25" s="92">
        <v>1</v>
      </c>
      <c r="E25" s="110">
        <v>3000</v>
      </c>
      <c r="F25" s="93"/>
      <c r="G25" s="74">
        <f t="shared" si="3"/>
        <v>0</v>
      </c>
      <c r="H25" s="95">
        <f t="shared" si="0"/>
        <v>0</v>
      </c>
      <c r="I25" s="112">
        <f>F25</f>
        <v>0</v>
      </c>
      <c r="J25" s="57"/>
      <c r="K25" s="57"/>
      <c r="L25" s="57"/>
      <c r="M25" s="57"/>
      <c r="N25" s="57"/>
      <c r="O25" s="57"/>
      <c r="P25" s="68"/>
      <c r="Q25" s="58"/>
      <c r="R25" s="76"/>
      <c r="S25" s="76"/>
      <c r="T25" s="128"/>
    </row>
    <row r="26" spans="1:20" outlineLevel="1" x14ac:dyDescent="0.25">
      <c r="A26" s="4" t="s">
        <v>64</v>
      </c>
      <c r="B26" s="75" t="s">
        <v>140</v>
      </c>
      <c r="C26" s="25" t="s">
        <v>902</v>
      </c>
      <c r="D26" s="92">
        <v>1</v>
      </c>
      <c r="E26" s="110">
        <v>3000</v>
      </c>
      <c r="F26" s="93"/>
      <c r="G26" s="74">
        <f t="shared" si="3"/>
        <v>0</v>
      </c>
      <c r="H26" s="95">
        <f t="shared" si="0"/>
        <v>0</v>
      </c>
      <c r="I26" s="112">
        <f>F26</f>
        <v>0</v>
      </c>
      <c r="J26" s="57"/>
      <c r="K26" s="57"/>
      <c r="L26" s="57"/>
      <c r="M26" s="57"/>
      <c r="N26" s="57"/>
      <c r="O26" s="57"/>
      <c r="P26" s="68"/>
      <c r="Q26" s="58"/>
      <c r="R26" s="76"/>
      <c r="S26" s="76"/>
      <c r="T26" s="128"/>
    </row>
    <row r="27" spans="1:20" outlineLevel="1" x14ac:dyDescent="0.25">
      <c r="A27" s="4" t="s">
        <v>81</v>
      </c>
      <c r="B27" s="75" t="s">
        <v>47</v>
      </c>
      <c r="C27" s="25"/>
      <c r="D27" s="92"/>
      <c r="E27" s="110"/>
      <c r="F27" s="93"/>
      <c r="G27" s="74">
        <f t="shared" si="3"/>
        <v>0</v>
      </c>
      <c r="H27" s="95">
        <f t="shared" si="0"/>
        <v>0</v>
      </c>
      <c r="I27" s="112">
        <f>F27</f>
        <v>0</v>
      </c>
      <c r="J27" s="57"/>
      <c r="K27" s="57"/>
      <c r="L27" s="57"/>
      <c r="M27" s="57"/>
      <c r="N27" s="57"/>
      <c r="O27" s="57"/>
      <c r="P27" s="68"/>
      <c r="Q27" s="58"/>
      <c r="R27" s="76"/>
      <c r="S27" s="76"/>
      <c r="T27" s="128"/>
    </row>
    <row r="28" spans="1:20" s="3" customFormat="1" ht="15.75" x14ac:dyDescent="0.25">
      <c r="A28" s="7" t="s">
        <v>65</v>
      </c>
      <c r="B28" s="13" t="s">
        <v>699</v>
      </c>
      <c r="C28" s="23"/>
      <c r="D28" s="24"/>
      <c r="E28" s="17"/>
      <c r="F28" s="82">
        <f>SUM(F29:F30)</f>
        <v>0</v>
      </c>
      <c r="G28" s="89">
        <f t="shared" si="3"/>
        <v>0</v>
      </c>
      <c r="H28" s="18">
        <f>SUM(I28:Q28)</f>
        <v>0</v>
      </c>
      <c r="I28" s="54">
        <f t="shared" ref="I28:Q28" si="9">SUM(I29:I30)</f>
        <v>0</v>
      </c>
      <c r="J28" s="55">
        <f t="shared" si="9"/>
        <v>0</v>
      </c>
      <c r="K28" s="55">
        <f t="shared" si="9"/>
        <v>0</v>
      </c>
      <c r="L28" s="55">
        <f t="shared" si="9"/>
        <v>0</v>
      </c>
      <c r="M28" s="55">
        <f t="shared" si="9"/>
        <v>0</v>
      </c>
      <c r="N28" s="55">
        <f t="shared" si="9"/>
        <v>0</v>
      </c>
      <c r="O28" s="55">
        <f t="shared" si="9"/>
        <v>0</v>
      </c>
      <c r="P28" s="55">
        <f t="shared" si="9"/>
        <v>0</v>
      </c>
      <c r="Q28" s="56">
        <f t="shared" si="9"/>
        <v>0</v>
      </c>
      <c r="R28" s="33">
        <v>17000</v>
      </c>
      <c r="S28" s="33">
        <v>17000</v>
      </c>
      <c r="T28" s="127">
        <f>S28*100/R28</f>
        <v>100</v>
      </c>
    </row>
    <row r="29" spans="1:20" outlineLevel="1" x14ac:dyDescent="0.25">
      <c r="A29" s="4" t="s">
        <v>66</v>
      </c>
      <c r="B29" s="75" t="s">
        <v>891</v>
      </c>
      <c r="C29" s="25" t="s">
        <v>900</v>
      </c>
      <c r="D29" s="92">
        <v>1</v>
      </c>
      <c r="E29" s="110">
        <v>3000</v>
      </c>
      <c r="F29" s="93"/>
      <c r="G29" s="74">
        <f t="shared" si="3"/>
        <v>0</v>
      </c>
      <c r="H29" s="95">
        <f t="shared" si="0"/>
        <v>0</v>
      </c>
      <c r="I29" s="112">
        <f>F29</f>
        <v>0</v>
      </c>
      <c r="J29" s="57"/>
      <c r="K29" s="57"/>
      <c r="L29" s="57"/>
      <c r="M29" s="57"/>
      <c r="N29" s="57"/>
      <c r="O29" s="57"/>
      <c r="P29" s="68"/>
      <c r="Q29" s="58"/>
      <c r="R29" s="76"/>
      <c r="S29" s="76"/>
      <c r="T29" s="128"/>
    </row>
    <row r="30" spans="1:20" outlineLevel="1" x14ac:dyDescent="0.25">
      <c r="A30" s="4" t="s">
        <v>67</v>
      </c>
      <c r="B30" s="75" t="s">
        <v>47</v>
      </c>
      <c r="C30" s="25"/>
      <c r="D30" s="92"/>
      <c r="E30" s="110"/>
      <c r="F30" s="93"/>
      <c r="G30" s="74">
        <f t="shared" si="3"/>
        <v>0</v>
      </c>
      <c r="H30" s="95">
        <f t="shared" si="0"/>
        <v>0</v>
      </c>
      <c r="I30" s="112">
        <f>F30</f>
        <v>0</v>
      </c>
      <c r="J30" s="57"/>
      <c r="K30" s="57"/>
      <c r="L30" s="57"/>
      <c r="M30" s="57"/>
      <c r="N30" s="57"/>
      <c r="O30" s="57"/>
      <c r="P30" s="68"/>
      <c r="Q30" s="58"/>
      <c r="R30" s="76"/>
      <c r="S30" s="76"/>
      <c r="T30" s="128"/>
    </row>
    <row r="31" spans="1:20" s="3" customFormat="1" ht="15.75" x14ac:dyDescent="0.25">
      <c r="A31" s="7" t="s">
        <v>68</v>
      </c>
      <c r="B31" s="13" t="s">
        <v>155</v>
      </c>
      <c r="C31" s="23"/>
      <c r="D31" s="24"/>
      <c r="E31" s="17"/>
      <c r="F31" s="82">
        <f>SUM(F32:F33)</f>
        <v>0</v>
      </c>
      <c r="G31" s="89">
        <f t="shared" si="3"/>
        <v>0</v>
      </c>
      <c r="H31" s="18">
        <f t="shared" ref="H31:H42" si="10">SUM(I31:Q31)</f>
        <v>0</v>
      </c>
      <c r="I31" s="54">
        <f t="shared" ref="I31:Q31" si="11">SUM(I32:I33)</f>
        <v>0</v>
      </c>
      <c r="J31" s="55">
        <f t="shared" si="11"/>
        <v>0</v>
      </c>
      <c r="K31" s="55">
        <f t="shared" si="11"/>
        <v>0</v>
      </c>
      <c r="L31" s="55">
        <f t="shared" si="11"/>
        <v>0</v>
      </c>
      <c r="M31" s="55">
        <f t="shared" si="11"/>
        <v>0</v>
      </c>
      <c r="N31" s="55">
        <f t="shared" si="11"/>
        <v>0</v>
      </c>
      <c r="O31" s="55">
        <f t="shared" si="11"/>
        <v>0</v>
      </c>
      <c r="P31" s="55">
        <f t="shared" si="11"/>
        <v>0</v>
      </c>
      <c r="Q31" s="56">
        <f t="shared" si="11"/>
        <v>0</v>
      </c>
      <c r="R31" s="33">
        <v>28500</v>
      </c>
      <c r="S31" s="33">
        <v>28500</v>
      </c>
      <c r="T31" s="127">
        <f>S31*100/R31</f>
        <v>100</v>
      </c>
    </row>
    <row r="32" spans="1:20" outlineLevel="1" x14ac:dyDescent="0.25">
      <c r="A32" s="4" t="s">
        <v>69</v>
      </c>
      <c r="B32" s="75" t="s">
        <v>156</v>
      </c>
      <c r="C32" s="25" t="s">
        <v>898</v>
      </c>
      <c r="D32" s="92">
        <v>1</v>
      </c>
      <c r="E32" s="110">
        <v>26000</v>
      </c>
      <c r="F32" s="93"/>
      <c r="G32" s="74">
        <f t="shared" si="3"/>
        <v>0</v>
      </c>
      <c r="H32" s="95">
        <f t="shared" si="10"/>
        <v>0</v>
      </c>
      <c r="I32" s="112">
        <f>F32</f>
        <v>0</v>
      </c>
      <c r="J32" s="57"/>
      <c r="K32" s="57"/>
      <c r="L32" s="57"/>
      <c r="M32" s="57"/>
      <c r="N32" s="57"/>
      <c r="O32" s="57"/>
      <c r="P32" s="68"/>
      <c r="Q32" s="58"/>
      <c r="R32" s="76"/>
      <c r="S32" s="76"/>
      <c r="T32" s="128"/>
    </row>
    <row r="33" spans="1:20" outlineLevel="1" x14ac:dyDescent="0.25">
      <c r="A33" s="6" t="s">
        <v>70</v>
      </c>
      <c r="B33" s="75" t="s">
        <v>157</v>
      </c>
      <c r="C33" s="25" t="s">
        <v>899</v>
      </c>
      <c r="D33" s="92">
        <v>1</v>
      </c>
      <c r="E33" s="110">
        <v>2500</v>
      </c>
      <c r="F33" s="93"/>
      <c r="G33" s="74">
        <f t="shared" si="3"/>
        <v>0</v>
      </c>
      <c r="H33" s="95">
        <f t="shared" si="10"/>
        <v>0</v>
      </c>
      <c r="I33" s="112">
        <f>F33</f>
        <v>0</v>
      </c>
      <c r="J33" s="57"/>
      <c r="K33" s="57"/>
      <c r="L33" s="57"/>
      <c r="M33" s="57"/>
      <c r="N33" s="57"/>
      <c r="O33" s="57"/>
      <c r="P33" s="68"/>
      <c r="Q33" s="58"/>
      <c r="R33" s="76"/>
      <c r="S33" s="76"/>
      <c r="T33" s="128"/>
    </row>
    <row r="34" spans="1:20" s="3" customFormat="1" ht="15.75" x14ac:dyDescent="0.25">
      <c r="A34" s="7" t="s">
        <v>535</v>
      </c>
      <c r="B34" s="13" t="s">
        <v>152</v>
      </c>
      <c r="C34" s="23"/>
      <c r="D34" s="24"/>
      <c r="E34" s="17"/>
      <c r="F34" s="82">
        <f>SUM(F35:F36)</f>
        <v>0</v>
      </c>
      <c r="G34" s="89">
        <f t="shared" si="3"/>
        <v>0</v>
      </c>
      <c r="H34" s="18">
        <f t="shared" si="10"/>
        <v>0</v>
      </c>
      <c r="I34" s="54">
        <f t="shared" ref="I34:Q34" si="12">SUM(I35:I36)</f>
        <v>0</v>
      </c>
      <c r="J34" s="55">
        <f t="shared" si="12"/>
        <v>0</v>
      </c>
      <c r="K34" s="55">
        <f t="shared" si="12"/>
        <v>0</v>
      </c>
      <c r="L34" s="55">
        <f t="shared" si="12"/>
        <v>0</v>
      </c>
      <c r="M34" s="55">
        <f t="shared" si="12"/>
        <v>0</v>
      </c>
      <c r="N34" s="55">
        <f t="shared" si="12"/>
        <v>0</v>
      </c>
      <c r="O34" s="55">
        <f t="shared" si="12"/>
        <v>0</v>
      </c>
      <c r="P34" s="55">
        <f t="shared" si="12"/>
        <v>0</v>
      </c>
      <c r="Q34" s="56">
        <f t="shared" si="12"/>
        <v>0</v>
      </c>
      <c r="R34" s="132"/>
      <c r="S34" s="133"/>
      <c r="T34" s="134"/>
    </row>
    <row r="35" spans="1:20" outlineLevel="1" x14ac:dyDescent="0.25">
      <c r="A35" s="4" t="s">
        <v>71</v>
      </c>
      <c r="B35" s="75" t="s">
        <v>153</v>
      </c>
      <c r="C35" s="25" t="s">
        <v>887</v>
      </c>
      <c r="D35" s="92">
        <v>1</v>
      </c>
      <c r="E35" s="110">
        <f>I149</f>
        <v>18253</v>
      </c>
      <c r="F35" s="93"/>
      <c r="G35" s="74">
        <f t="shared" si="3"/>
        <v>0</v>
      </c>
      <c r="H35" s="95">
        <f t="shared" si="10"/>
        <v>0</v>
      </c>
      <c r="I35" s="112">
        <f>F35</f>
        <v>0</v>
      </c>
      <c r="J35" s="57"/>
      <c r="K35" s="57"/>
      <c r="L35" s="57"/>
      <c r="M35" s="57"/>
      <c r="N35" s="57"/>
      <c r="O35" s="57"/>
      <c r="P35" s="68"/>
      <c r="Q35" s="58"/>
      <c r="R35" s="76"/>
      <c r="S35" s="76"/>
      <c r="T35" s="128"/>
    </row>
    <row r="36" spans="1:20" outlineLevel="1" x14ac:dyDescent="0.25">
      <c r="A36" s="6" t="s">
        <v>72</v>
      </c>
      <c r="B36" s="75" t="s">
        <v>47</v>
      </c>
      <c r="C36" s="25"/>
      <c r="D36" s="92"/>
      <c r="E36" s="110"/>
      <c r="F36" s="93"/>
      <c r="G36" s="74">
        <f t="shared" si="3"/>
        <v>0</v>
      </c>
      <c r="H36" s="95">
        <f t="shared" si="10"/>
        <v>0</v>
      </c>
      <c r="I36" s="112">
        <f>F36</f>
        <v>0</v>
      </c>
      <c r="J36" s="57"/>
      <c r="K36" s="57"/>
      <c r="L36" s="57"/>
      <c r="M36" s="57"/>
      <c r="N36" s="57"/>
      <c r="O36" s="57"/>
      <c r="P36" s="68"/>
      <c r="Q36" s="58"/>
      <c r="R36" s="76"/>
      <c r="S36" s="76"/>
      <c r="T36" s="128"/>
    </row>
    <row r="37" spans="1:20" s="2" customFormat="1" ht="21" x14ac:dyDescent="0.35">
      <c r="A37" s="8" t="s">
        <v>77</v>
      </c>
      <c r="B37" s="12" t="s">
        <v>712</v>
      </c>
      <c r="C37" s="21"/>
      <c r="D37" s="22"/>
      <c r="E37" s="22"/>
      <c r="F37" s="84">
        <f>F38+F43+F50+F56+F61+F65+F71+F77+F80</f>
        <v>99216</v>
      </c>
      <c r="G37" s="89">
        <f t="shared" si="3"/>
        <v>-6901</v>
      </c>
      <c r="H37" s="16">
        <f t="shared" si="10"/>
        <v>92315</v>
      </c>
      <c r="I37" s="51">
        <f t="shared" ref="I37:S37" si="13">I38+I43+I50+I56+I61+I65+I71+I77+I80</f>
        <v>43200</v>
      </c>
      <c r="J37" s="52">
        <f t="shared" si="13"/>
        <v>6380</v>
      </c>
      <c r="K37" s="52">
        <f t="shared" si="13"/>
        <v>3895</v>
      </c>
      <c r="L37" s="52">
        <f t="shared" si="13"/>
        <v>0</v>
      </c>
      <c r="M37" s="52">
        <f t="shared" si="13"/>
        <v>0</v>
      </c>
      <c r="N37" s="52">
        <f t="shared" si="13"/>
        <v>15800</v>
      </c>
      <c r="O37" s="52">
        <f t="shared" si="13"/>
        <v>0</v>
      </c>
      <c r="P37" s="52">
        <f t="shared" si="13"/>
        <v>17740</v>
      </c>
      <c r="Q37" s="53">
        <f t="shared" si="13"/>
        <v>5300</v>
      </c>
      <c r="R37" s="32">
        <f t="shared" si="13"/>
        <v>72158</v>
      </c>
      <c r="S37" s="32">
        <f t="shared" si="13"/>
        <v>50537.54</v>
      </c>
      <c r="T37" s="126">
        <f>S37*100/R37</f>
        <v>70.037334737659023</v>
      </c>
    </row>
    <row r="38" spans="1:20" s="3" customFormat="1" ht="15.75" outlineLevel="1" x14ac:dyDescent="0.25">
      <c r="A38" s="7" t="s">
        <v>1</v>
      </c>
      <c r="B38" s="13" t="s">
        <v>78</v>
      </c>
      <c r="C38" s="23"/>
      <c r="D38" s="24"/>
      <c r="E38" s="17"/>
      <c r="F38" s="82">
        <f>SUM(F39:F42)</f>
        <v>4150</v>
      </c>
      <c r="G38" s="89">
        <f t="shared" si="3"/>
        <v>0</v>
      </c>
      <c r="H38" s="18">
        <f t="shared" si="10"/>
        <v>4150</v>
      </c>
      <c r="I38" s="54">
        <f t="shared" ref="I38:Q38" si="14">SUM(I39:I42)</f>
        <v>1350</v>
      </c>
      <c r="J38" s="55">
        <f t="shared" si="14"/>
        <v>0</v>
      </c>
      <c r="K38" s="55">
        <f t="shared" si="14"/>
        <v>0</v>
      </c>
      <c r="L38" s="55">
        <f t="shared" si="14"/>
        <v>0</v>
      </c>
      <c r="M38" s="55">
        <f>SUM(M39:M42)</f>
        <v>0</v>
      </c>
      <c r="N38" s="55">
        <f t="shared" si="14"/>
        <v>2800</v>
      </c>
      <c r="O38" s="55">
        <f t="shared" si="14"/>
        <v>0</v>
      </c>
      <c r="P38" s="55">
        <f t="shared" si="14"/>
        <v>0</v>
      </c>
      <c r="Q38" s="56">
        <f t="shared" si="14"/>
        <v>0</v>
      </c>
      <c r="R38" s="33">
        <v>7568</v>
      </c>
      <c r="S38" s="33">
        <f>880+150+1118.74+2229.39</f>
        <v>4378.1299999999992</v>
      </c>
      <c r="T38" s="127">
        <f>S38*100/R38</f>
        <v>57.850554968287518</v>
      </c>
    </row>
    <row r="39" spans="1:20" outlineLevel="1" x14ac:dyDescent="0.25">
      <c r="A39" s="4" t="s">
        <v>3</v>
      </c>
      <c r="B39" s="75" t="s">
        <v>79</v>
      </c>
      <c r="C39" s="25"/>
      <c r="D39" s="92">
        <v>1</v>
      </c>
      <c r="E39" s="110">
        <v>2000</v>
      </c>
      <c r="F39" s="93">
        <f>D39*E39</f>
        <v>2000</v>
      </c>
      <c r="G39" s="74">
        <f t="shared" si="3"/>
        <v>0</v>
      </c>
      <c r="H39" s="95">
        <f t="shared" si="10"/>
        <v>2000</v>
      </c>
      <c r="I39" s="112"/>
      <c r="J39" s="57"/>
      <c r="K39" s="57"/>
      <c r="L39" s="57"/>
      <c r="M39" s="57"/>
      <c r="N39" s="57">
        <v>2000</v>
      </c>
      <c r="O39" s="57"/>
      <c r="P39" s="68"/>
      <c r="Q39" s="58"/>
      <c r="R39" s="76"/>
      <c r="S39" s="76"/>
      <c r="T39" s="128"/>
    </row>
    <row r="40" spans="1:20" outlineLevel="1" x14ac:dyDescent="0.25">
      <c r="A40" s="4" t="s">
        <v>4</v>
      </c>
      <c r="B40" s="75" t="s">
        <v>513</v>
      </c>
      <c r="C40" s="25"/>
      <c r="D40" s="92">
        <v>1</v>
      </c>
      <c r="E40" s="110">
        <v>800</v>
      </c>
      <c r="F40" s="93">
        <f>D40*E40</f>
        <v>800</v>
      </c>
      <c r="G40" s="74">
        <f t="shared" si="3"/>
        <v>0</v>
      </c>
      <c r="H40" s="95">
        <f t="shared" si="10"/>
        <v>800</v>
      </c>
      <c r="I40" s="112"/>
      <c r="J40" s="57"/>
      <c r="K40" s="57"/>
      <c r="L40" s="57"/>
      <c r="M40" s="57"/>
      <c r="N40" s="57">
        <v>800</v>
      </c>
      <c r="O40" s="57"/>
      <c r="P40" s="68"/>
      <c r="Q40" s="58"/>
      <c r="R40" s="76"/>
      <c r="S40" s="76"/>
      <c r="T40" s="128"/>
    </row>
    <row r="41" spans="1:20" outlineLevel="1" x14ac:dyDescent="0.25">
      <c r="A41" s="4" t="s">
        <v>5</v>
      </c>
      <c r="B41" s="75" t="s">
        <v>80</v>
      </c>
      <c r="C41" s="25"/>
      <c r="D41" s="92">
        <v>1</v>
      </c>
      <c r="E41" s="110">
        <v>1350</v>
      </c>
      <c r="F41" s="93">
        <f>D41*E41</f>
        <v>1350</v>
      </c>
      <c r="G41" s="74">
        <f t="shared" si="3"/>
        <v>0</v>
      </c>
      <c r="H41" s="95">
        <f t="shared" si="10"/>
        <v>1350</v>
      </c>
      <c r="I41" s="112">
        <f>F41</f>
        <v>1350</v>
      </c>
      <c r="J41" s="57"/>
      <c r="K41" s="57"/>
      <c r="L41" s="57"/>
      <c r="M41" s="57"/>
      <c r="N41" s="57"/>
      <c r="O41" s="57"/>
      <c r="P41" s="68"/>
      <c r="Q41" s="58"/>
      <c r="R41" s="76"/>
      <c r="S41" s="76"/>
      <c r="T41" s="128"/>
    </row>
    <row r="42" spans="1:20" outlineLevel="1" x14ac:dyDescent="0.25">
      <c r="A42" s="4" t="s">
        <v>6</v>
      </c>
      <c r="B42" s="75" t="s">
        <v>47</v>
      </c>
      <c r="C42" s="25"/>
      <c r="D42" s="92"/>
      <c r="E42" s="110"/>
      <c r="F42" s="93">
        <f>D42*E42</f>
        <v>0</v>
      </c>
      <c r="G42" s="74">
        <f t="shared" si="3"/>
        <v>0</v>
      </c>
      <c r="H42" s="95">
        <f t="shared" si="10"/>
        <v>0</v>
      </c>
      <c r="I42" s="112">
        <f>F42</f>
        <v>0</v>
      </c>
      <c r="J42" s="57"/>
      <c r="K42" s="57"/>
      <c r="L42" s="57"/>
      <c r="M42" s="57"/>
      <c r="N42" s="57"/>
      <c r="O42" s="57"/>
      <c r="P42" s="68"/>
      <c r="Q42" s="58"/>
      <c r="R42" s="76"/>
      <c r="S42" s="76"/>
      <c r="T42" s="128"/>
    </row>
    <row r="43" spans="1:20" s="3" customFormat="1" ht="15.75" x14ac:dyDescent="0.25">
      <c r="A43" s="7" t="s">
        <v>2</v>
      </c>
      <c r="B43" s="13" t="s">
        <v>728</v>
      </c>
      <c r="C43" s="23"/>
      <c r="D43" s="24"/>
      <c r="E43" s="17"/>
      <c r="F43" s="82">
        <f>SUM(F44:F49)</f>
        <v>34096</v>
      </c>
      <c r="G43" s="89">
        <f t="shared" si="3"/>
        <v>-3601</v>
      </c>
      <c r="H43" s="18">
        <f t="shared" ref="H43:H129" si="15">SUM(I43:Q43)</f>
        <v>30495</v>
      </c>
      <c r="I43" s="54">
        <f t="shared" ref="I43:Q43" si="16">SUM(I44:I49)</f>
        <v>7500</v>
      </c>
      <c r="J43" s="55">
        <f t="shared" si="16"/>
        <v>1000</v>
      </c>
      <c r="K43" s="55">
        <f t="shared" si="16"/>
        <v>3895</v>
      </c>
      <c r="L43" s="55">
        <f t="shared" si="16"/>
        <v>0</v>
      </c>
      <c r="M43" s="55">
        <f t="shared" si="16"/>
        <v>0</v>
      </c>
      <c r="N43" s="55">
        <f t="shared" si="16"/>
        <v>12000</v>
      </c>
      <c r="O43" s="55">
        <f t="shared" si="16"/>
        <v>0</v>
      </c>
      <c r="P43" s="55">
        <f t="shared" si="16"/>
        <v>1600</v>
      </c>
      <c r="Q43" s="56">
        <f t="shared" si="16"/>
        <v>4500</v>
      </c>
      <c r="R43" s="33">
        <v>35000</v>
      </c>
      <c r="S43" s="33">
        <f>21630.2+2405.79</f>
        <v>24035.99</v>
      </c>
      <c r="T43" s="127">
        <f>S43*100/R43</f>
        <v>68.674257142857144</v>
      </c>
    </row>
    <row r="44" spans="1:20" outlineLevel="1" x14ac:dyDescent="0.25">
      <c r="A44" s="4" t="s">
        <v>10</v>
      </c>
      <c r="B44" s="75" t="s">
        <v>82</v>
      </c>
      <c r="C44" s="25" t="s">
        <v>923</v>
      </c>
      <c r="D44" s="92">
        <v>2</v>
      </c>
      <c r="E44" s="110">
        <v>1500</v>
      </c>
      <c r="F44" s="93">
        <f t="shared" ref="F44:F49" si="17">D44*E44</f>
        <v>3000</v>
      </c>
      <c r="G44" s="74">
        <f t="shared" si="3"/>
        <v>0</v>
      </c>
      <c r="H44" s="95">
        <f t="shared" si="15"/>
        <v>3000</v>
      </c>
      <c r="I44" s="112"/>
      <c r="J44" s="57"/>
      <c r="K44" s="57">
        <v>3000</v>
      </c>
      <c r="L44" s="57"/>
      <c r="M44" s="57"/>
      <c r="N44" s="57"/>
      <c r="O44" s="57"/>
      <c r="P44" s="68"/>
      <c r="Q44" s="58"/>
      <c r="R44" s="76"/>
      <c r="S44" s="76"/>
      <c r="T44" s="128"/>
    </row>
    <row r="45" spans="1:20" outlineLevel="1" x14ac:dyDescent="0.25">
      <c r="A45" s="4" t="s">
        <v>11</v>
      </c>
      <c r="B45" s="75" t="s">
        <v>514</v>
      </c>
      <c r="C45" s="25"/>
      <c r="D45" s="92">
        <v>1</v>
      </c>
      <c r="E45" s="110">
        <v>19996</v>
      </c>
      <c r="F45" s="93">
        <f t="shared" si="17"/>
        <v>19996</v>
      </c>
      <c r="G45" s="74">
        <f t="shared" si="3"/>
        <v>-1601</v>
      </c>
      <c r="H45" s="95">
        <f t="shared" si="15"/>
        <v>18395</v>
      </c>
      <c r="I45" s="112">
        <v>3000</v>
      </c>
      <c r="J45" s="57">
        <v>1000</v>
      </c>
      <c r="K45" s="57">
        <v>895</v>
      </c>
      <c r="L45" s="57"/>
      <c r="M45" s="57"/>
      <c r="N45" s="57">
        <v>9000</v>
      </c>
      <c r="O45" s="57"/>
      <c r="P45" s="68"/>
      <c r="Q45" s="58">
        <v>4500</v>
      </c>
      <c r="R45" s="76"/>
      <c r="S45" s="76"/>
      <c r="T45" s="128"/>
    </row>
    <row r="46" spans="1:20" outlineLevel="1" x14ac:dyDescent="0.25">
      <c r="A46" s="4" t="s">
        <v>12</v>
      </c>
      <c r="B46" s="75" t="s">
        <v>740</v>
      </c>
      <c r="C46" s="25"/>
      <c r="D46" s="92">
        <v>1</v>
      </c>
      <c r="E46" s="110">
        <v>750</v>
      </c>
      <c r="F46" s="93">
        <f t="shared" si="17"/>
        <v>750</v>
      </c>
      <c r="G46" s="74">
        <f t="shared" si="3"/>
        <v>0</v>
      </c>
      <c r="H46" s="95">
        <f t="shared" si="15"/>
        <v>750</v>
      </c>
      <c r="I46" s="112">
        <v>750</v>
      </c>
      <c r="J46" s="57"/>
      <c r="K46" s="57"/>
      <c r="L46" s="57"/>
      <c r="M46" s="57"/>
      <c r="N46" s="57"/>
      <c r="O46" s="57"/>
      <c r="P46" s="68"/>
      <c r="Q46" s="58"/>
      <c r="R46" s="76"/>
      <c r="S46" s="76"/>
      <c r="T46" s="128"/>
    </row>
    <row r="47" spans="1:20" outlineLevel="1" x14ac:dyDescent="0.25">
      <c r="A47" s="4" t="s">
        <v>13</v>
      </c>
      <c r="B47" s="75" t="s">
        <v>739</v>
      </c>
      <c r="C47" s="25"/>
      <c r="D47" s="92">
        <v>1</v>
      </c>
      <c r="E47" s="110">
        <v>750</v>
      </c>
      <c r="F47" s="93">
        <f t="shared" si="17"/>
        <v>750</v>
      </c>
      <c r="G47" s="74">
        <f t="shared" si="3"/>
        <v>0</v>
      </c>
      <c r="H47" s="95">
        <f t="shared" si="15"/>
        <v>750</v>
      </c>
      <c r="I47" s="112">
        <v>750</v>
      </c>
      <c r="J47" s="57"/>
      <c r="K47" s="57"/>
      <c r="L47" s="57"/>
      <c r="M47" s="57"/>
      <c r="N47" s="57"/>
      <c r="O47" s="57"/>
      <c r="P47" s="68"/>
      <c r="Q47" s="58"/>
      <c r="R47" s="76"/>
      <c r="S47" s="76"/>
      <c r="T47" s="128"/>
    </row>
    <row r="48" spans="1:20" outlineLevel="1" x14ac:dyDescent="0.25">
      <c r="A48" s="4" t="s">
        <v>14</v>
      </c>
      <c r="B48" s="75" t="s">
        <v>989</v>
      </c>
      <c r="C48" s="109"/>
      <c r="D48" s="118">
        <v>12</v>
      </c>
      <c r="E48" s="119">
        <v>800</v>
      </c>
      <c r="F48" s="93">
        <f>D48*E48</f>
        <v>9600</v>
      </c>
      <c r="G48" s="74">
        <f>H48-F48</f>
        <v>-2000</v>
      </c>
      <c r="H48" s="95">
        <f>SUM(I48:Q48)</f>
        <v>7600</v>
      </c>
      <c r="I48" s="112">
        <v>3000</v>
      </c>
      <c r="J48" s="57"/>
      <c r="K48" s="57"/>
      <c r="L48" s="57"/>
      <c r="M48" s="57"/>
      <c r="N48" s="57">
        <v>3000</v>
      </c>
      <c r="O48" s="57"/>
      <c r="P48" s="68">
        <v>1600</v>
      </c>
      <c r="Q48" s="58"/>
      <c r="R48" s="76"/>
      <c r="S48" s="76"/>
      <c r="T48" s="128"/>
    </row>
    <row r="49" spans="1:20" outlineLevel="1" x14ac:dyDescent="0.25">
      <c r="A49" s="4" t="s">
        <v>962</v>
      </c>
      <c r="B49" s="75" t="s">
        <v>47</v>
      </c>
      <c r="C49" s="25"/>
      <c r="D49" s="92"/>
      <c r="E49" s="110"/>
      <c r="F49" s="93">
        <f t="shared" si="17"/>
        <v>0</v>
      </c>
      <c r="G49" s="74">
        <f t="shared" si="3"/>
        <v>0</v>
      </c>
      <c r="H49" s="95">
        <f t="shared" si="15"/>
        <v>0</v>
      </c>
      <c r="I49" s="112"/>
      <c r="J49" s="57"/>
      <c r="K49" s="57"/>
      <c r="L49" s="57"/>
      <c r="M49" s="57"/>
      <c r="N49" s="57"/>
      <c r="O49" s="57"/>
      <c r="P49" s="68"/>
      <c r="Q49" s="58"/>
      <c r="R49" s="76"/>
      <c r="S49" s="76"/>
      <c r="T49" s="128"/>
    </row>
    <row r="50" spans="1:20" s="3" customFormat="1" ht="15.75" x14ac:dyDescent="0.25">
      <c r="A50" s="7" t="s">
        <v>26</v>
      </c>
      <c r="B50" s="13" t="s">
        <v>322</v>
      </c>
      <c r="C50" s="23"/>
      <c r="D50" s="24"/>
      <c r="E50" s="17"/>
      <c r="F50" s="82">
        <f>SUM(F51:F55)</f>
        <v>4500</v>
      </c>
      <c r="G50" s="89">
        <f>SUM(G51:G55)</f>
        <v>-3500</v>
      </c>
      <c r="H50" s="18">
        <f t="shared" ref="H50:H55" si="18">SUM(I50:Q50)</f>
        <v>1000</v>
      </c>
      <c r="I50" s="54">
        <f t="shared" ref="I50:Q50" si="19">SUM(I51:I55)</f>
        <v>0</v>
      </c>
      <c r="J50" s="55">
        <f t="shared" si="19"/>
        <v>0</v>
      </c>
      <c r="K50" s="55">
        <f t="shared" si="19"/>
        <v>0</v>
      </c>
      <c r="L50" s="55">
        <f t="shared" si="19"/>
        <v>0</v>
      </c>
      <c r="M50" s="55">
        <f t="shared" si="19"/>
        <v>0</v>
      </c>
      <c r="N50" s="55">
        <f t="shared" si="19"/>
        <v>1000</v>
      </c>
      <c r="O50" s="55">
        <f t="shared" si="19"/>
        <v>0</v>
      </c>
      <c r="P50" s="55">
        <f t="shared" si="19"/>
        <v>0</v>
      </c>
      <c r="Q50" s="56">
        <f t="shared" si="19"/>
        <v>0</v>
      </c>
      <c r="R50" s="33">
        <v>4000</v>
      </c>
      <c r="S50" s="33">
        <v>9634.94</v>
      </c>
      <c r="T50" s="127">
        <f>S50*100/R50</f>
        <v>240.87350000000001</v>
      </c>
    </row>
    <row r="51" spans="1:20" outlineLevel="1" x14ac:dyDescent="0.25">
      <c r="A51" s="5" t="s">
        <v>715</v>
      </c>
      <c r="B51" s="75" t="s">
        <v>731</v>
      </c>
      <c r="C51" s="25"/>
      <c r="D51" s="92">
        <v>3</v>
      </c>
      <c r="E51" s="110">
        <v>1000</v>
      </c>
      <c r="F51" s="93">
        <f>D51*E51</f>
        <v>3000</v>
      </c>
      <c r="G51" s="74">
        <f>H51-F51</f>
        <v>-2000</v>
      </c>
      <c r="H51" s="95">
        <f t="shared" si="18"/>
        <v>1000</v>
      </c>
      <c r="I51" s="112"/>
      <c r="J51" s="57"/>
      <c r="K51" s="57"/>
      <c r="L51" s="57"/>
      <c r="M51" s="57"/>
      <c r="N51" s="57">
        <v>1000</v>
      </c>
      <c r="O51" s="57"/>
      <c r="P51" s="68"/>
      <c r="Q51" s="58"/>
      <c r="R51" s="76"/>
      <c r="S51" s="76"/>
      <c r="T51" s="128"/>
    </row>
    <row r="52" spans="1:20" outlineLevel="1" x14ac:dyDescent="0.25">
      <c r="A52" s="4" t="s">
        <v>716</v>
      </c>
      <c r="B52" s="75" t="s">
        <v>732</v>
      </c>
      <c r="C52" s="25"/>
      <c r="D52" s="92">
        <v>2</v>
      </c>
      <c r="E52" s="110">
        <v>250</v>
      </c>
      <c r="F52" s="93">
        <f>D52*E52</f>
        <v>500</v>
      </c>
      <c r="G52" s="74">
        <f>H52-F52</f>
        <v>-500</v>
      </c>
      <c r="H52" s="95">
        <f t="shared" si="18"/>
        <v>0</v>
      </c>
      <c r="I52" s="112"/>
      <c r="J52" s="57"/>
      <c r="K52" s="57"/>
      <c r="L52" s="57"/>
      <c r="M52" s="57"/>
      <c r="N52" s="57"/>
      <c r="O52" s="57"/>
      <c r="P52" s="68"/>
      <c r="Q52" s="58"/>
      <c r="R52" s="76"/>
      <c r="S52" s="76"/>
      <c r="T52" s="128"/>
    </row>
    <row r="53" spans="1:20" outlineLevel="1" x14ac:dyDescent="0.25">
      <c r="A53" s="4" t="s">
        <v>717</v>
      </c>
      <c r="B53" s="75" t="s">
        <v>733</v>
      </c>
      <c r="C53" s="25"/>
      <c r="D53" s="92">
        <v>1</v>
      </c>
      <c r="E53" s="110">
        <v>500</v>
      </c>
      <c r="F53" s="93">
        <f>D53*E53</f>
        <v>500</v>
      </c>
      <c r="G53" s="74">
        <f>H53-F53</f>
        <v>-500</v>
      </c>
      <c r="H53" s="95">
        <f t="shared" si="18"/>
        <v>0</v>
      </c>
      <c r="I53" s="112"/>
      <c r="J53" s="57"/>
      <c r="K53" s="57"/>
      <c r="L53" s="57"/>
      <c r="M53" s="57"/>
      <c r="N53" s="57"/>
      <c r="O53" s="57"/>
      <c r="P53" s="68"/>
      <c r="Q53" s="58"/>
      <c r="R53" s="76"/>
      <c r="S53" s="76"/>
      <c r="T53" s="128"/>
    </row>
    <row r="54" spans="1:20" outlineLevel="1" x14ac:dyDescent="0.25">
      <c r="A54" s="4" t="s">
        <v>718</v>
      </c>
      <c r="B54" s="75" t="s">
        <v>734</v>
      </c>
      <c r="C54" s="25"/>
      <c r="D54" s="92">
        <v>1</v>
      </c>
      <c r="E54" s="110">
        <v>500</v>
      </c>
      <c r="F54" s="93">
        <f>D54*E54</f>
        <v>500</v>
      </c>
      <c r="G54" s="74">
        <f>H54-F54</f>
        <v>-500</v>
      </c>
      <c r="H54" s="95">
        <f t="shared" si="18"/>
        <v>0</v>
      </c>
      <c r="I54" s="112"/>
      <c r="J54" s="57"/>
      <c r="K54" s="57"/>
      <c r="L54" s="57"/>
      <c r="M54" s="57"/>
      <c r="N54" s="57"/>
      <c r="O54" s="57"/>
      <c r="P54" s="68"/>
      <c r="Q54" s="58"/>
      <c r="R54" s="76"/>
      <c r="S54" s="76"/>
      <c r="T54" s="128"/>
    </row>
    <row r="55" spans="1:20" outlineLevel="1" x14ac:dyDescent="0.25">
      <c r="A55" s="4" t="s">
        <v>719</v>
      </c>
      <c r="B55" s="75" t="s">
        <v>47</v>
      </c>
      <c r="C55" s="25"/>
      <c r="D55" s="92"/>
      <c r="E55" s="110"/>
      <c r="F55" s="93">
        <f>D55*E55</f>
        <v>0</v>
      </c>
      <c r="G55" s="74">
        <f>H55-F55</f>
        <v>0</v>
      </c>
      <c r="H55" s="95">
        <f t="shared" si="18"/>
        <v>0</v>
      </c>
      <c r="I55" s="112"/>
      <c r="J55" s="57"/>
      <c r="K55" s="57"/>
      <c r="L55" s="57"/>
      <c r="M55" s="57"/>
      <c r="N55" s="57"/>
      <c r="O55" s="57"/>
      <c r="P55" s="68"/>
      <c r="Q55" s="58"/>
      <c r="R55" s="76"/>
      <c r="S55" s="76"/>
      <c r="T55" s="128"/>
    </row>
    <row r="56" spans="1:20" s="3" customFormat="1" ht="15.75" x14ac:dyDescent="0.25">
      <c r="A56" s="7" t="s">
        <v>720</v>
      </c>
      <c r="B56" s="13" t="s">
        <v>735</v>
      </c>
      <c r="C56" s="23"/>
      <c r="D56" s="24"/>
      <c r="E56" s="17"/>
      <c r="F56" s="82">
        <f>SUM(F57:F60)</f>
        <v>3750</v>
      </c>
      <c r="G56" s="89">
        <f>SUM(G57:G60)</f>
        <v>0</v>
      </c>
      <c r="H56" s="18">
        <f t="shared" si="15"/>
        <v>3950</v>
      </c>
      <c r="I56" s="54">
        <f t="shared" ref="I56:Q56" si="20">SUM(I57:I60)</f>
        <v>3950</v>
      </c>
      <c r="J56" s="55">
        <f t="shared" si="20"/>
        <v>0</v>
      </c>
      <c r="K56" s="55">
        <f t="shared" si="20"/>
        <v>0</v>
      </c>
      <c r="L56" s="55">
        <f t="shared" si="20"/>
        <v>0</v>
      </c>
      <c r="M56" s="55">
        <f t="shared" si="20"/>
        <v>0</v>
      </c>
      <c r="N56" s="55">
        <f t="shared" si="20"/>
        <v>0</v>
      </c>
      <c r="O56" s="55">
        <f t="shared" si="20"/>
        <v>0</v>
      </c>
      <c r="P56" s="55">
        <f t="shared" si="20"/>
        <v>0</v>
      </c>
      <c r="Q56" s="56">
        <f t="shared" si="20"/>
        <v>0</v>
      </c>
      <c r="R56" s="33">
        <v>3950</v>
      </c>
      <c r="S56" s="33">
        <v>3888.85</v>
      </c>
      <c r="T56" s="127">
        <f>S56*100/R56</f>
        <v>98.45189873417722</v>
      </c>
    </row>
    <row r="57" spans="1:20" outlineLevel="1" x14ac:dyDescent="0.25">
      <c r="A57" s="5" t="s">
        <v>722</v>
      </c>
      <c r="B57" s="75" t="s">
        <v>736</v>
      </c>
      <c r="C57" s="25"/>
      <c r="D57" s="92">
        <v>1</v>
      </c>
      <c r="E57" s="110">
        <v>950</v>
      </c>
      <c r="F57" s="93">
        <f>D57*E57</f>
        <v>950</v>
      </c>
      <c r="G57" s="74">
        <f>H57-F57</f>
        <v>0</v>
      </c>
      <c r="H57" s="95">
        <f t="shared" si="15"/>
        <v>950</v>
      </c>
      <c r="I57" s="112">
        <v>950</v>
      </c>
      <c r="J57" s="57"/>
      <c r="K57" s="57"/>
      <c r="L57" s="57"/>
      <c r="M57" s="57"/>
      <c r="N57" s="57"/>
      <c r="O57" s="57"/>
      <c r="P57" s="68"/>
      <c r="Q57" s="58"/>
      <c r="R57" s="76"/>
      <c r="S57" s="76"/>
      <c r="T57" s="128"/>
    </row>
    <row r="58" spans="1:20" outlineLevel="1" x14ac:dyDescent="0.25">
      <c r="A58" s="4" t="s">
        <v>723</v>
      </c>
      <c r="B58" s="75" t="s">
        <v>737</v>
      </c>
      <c r="C58" s="25"/>
      <c r="D58" s="92">
        <v>1</v>
      </c>
      <c r="E58" s="110">
        <v>2500</v>
      </c>
      <c r="F58" s="93">
        <f>D58*E58</f>
        <v>2500</v>
      </c>
      <c r="G58" s="74">
        <f>H58-F58</f>
        <v>0</v>
      </c>
      <c r="H58" s="95">
        <v>2500</v>
      </c>
      <c r="I58" s="112">
        <v>2700</v>
      </c>
      <c r="J58" s="57"/>
      <c r="K58" s="57"/>
      <c r="L58" s="57"/>
      <c r="M58" s="57"/>
      <c r="N58" s="57"/>
      <c r="O58" s="57"/>
      <c r="P58" s="68"/>
      <c r="Q58" s="58"/>
      <c r="R58" s="76"/>
      <c r="S58" s="76"/>
      <c r="T58" s="128"/>
    </row>
    <row r="59" spans="1:20" outlineLevel="1" x14ac:dyDescent="0.25">
      <c r="A59" s="4" t="s">
        <v>724</v>
      </c>
      <c r="B59" s="75" t="s">
        <v>738</v>
      </c>
      <c r="C59" s="25"/>
      <c r="D59" s="92">
        <v>1</v>
      </c>
      <c r="E59" s="110">
        <v>300</v>
      </c>
      <c r="F59" s="93">
        <f>D59*E59</f>
        <v>300</v>
      </c>
      <c r="G59" s="74">
        <f>H59-F59</f>
        <v>0</v>
      </c>
      <c r="H59" s="95">
        <f t="shared" si="15"/>
        <v>300</v>
      </c>
      <c r="I59" s="112">
        <v>300</v>
      </c>
      <c r="J59" s="57"/>
      <c r="K59" s="57"/>
      <c r="L59" s="57"/>
      <c r="M59" s="57"/>
      <c r="N59" s="57"/>
      <c r="O59" s="57"/>
      <c r="P59" s="68"/>
      <c r="Q59" s="58"/>
      <c r="R59" s="76"/>
      <c r="S59" s="76"/>
      <c r="T59" s="128"/>
    </row>
    <row r="60" spans="1:20" outlineLevel="1" x14ac:dyDescent="0.25">
      <c r="A60" s="4" t="s">
        <v>971</v>
      </c>
      <c r="B60" s="75" t="s">
        <v>47</v>
      </c>
      <c r="C60" s="25"/>
      <c r="D60" s="92"/>
      <c r="E60" s="110"/>
      <c r="F60" s="93">
        <f>D60*E60</f>
        <v>0</v>
      </c>
      <c r="G60" s="74">
        <f>H60-F60</f>
        <v>0</v>
      </c>
      <c r="H60" s="95">
        <f t="shared" si="15"/>
        <v>0</v>
      </c>
      <c r="I60" s="112"/>
      <c r="J60" s="57"/>
      <c r="K60" s="57"/>
      <c r="L60" s="57"/>
      <c r="M60" s="57"/>
      <c r="N60" s="57"/>
      <c r="O60" s="57"/>
      <c r="P60" s="68"/>
      <c r="Q60" s="58"/>
      <c r="R60" s="76"/>
      <c r="S60" s="76"/>
      <c r="T60" s="128"/>
    </row>
    <row r="61" spans="1:20" s="3" customFormat="1" ht="15.75" x14ac:dyDescent="0.25">
      <c r="A61" s="7" t="s">
        <v>721</v>
      </c>
      <c r="B61" s="13" t="s">
        <v>155</v>
      </c>
      <c r="C61" s="23"/>
      <c r="D61" s="24"/>
      <c r="E61" s="17"/>
      <c r="F61" s="82">
        <f>SUM(F62:F64)</f>
        <v>28000</v>
      </c>
      <c r="G61" s="89">
        <f>SUM(G62:G64)</f>
        <v>0</v>
      </c>
      <c r="H61" s="18">
        <f t="shared" si="15"/>
        <v>28000</v>
      </c>
      <c r="I61" s="54">
        <f t="shared" ref="I61:Q61" si="21">SUM(I62:I64)</f>
        <v>28000</v>
      </c>
      <c r="J61" s="55">
        <f t="shared" si="21"/>
        <v>0</v>
      </c>
      <c r="K61" s="55">
        <f t="shared" si="21"/>
        <v>0</v>
      </c>
      <c r="L61" s="55">
        <f t="shared" si="21"/>
        <v>0</v>
      </c>
      <c r="M61" s="55">
        <f t="shared" si="21"/>
        <v>0</v>
      </c>
      <c r="N61" s="55">
        <f t="shared" si="21"/>
        <v>0</v>
      </c>
      <c r="O61" s="55">
        <f t="shared" si="21"/>
        <v>0</v>
      </c>
      <c r="P61" s="55">
        <f t="shared" si="21"/>
        <v>0</v>
      </c>
      <c r="Q61" s="56">
        <f t="shared" si="21"/>
        <v>0</v>
      </c>
      <c r="R61" s="132"/>
      <c r="S61" s="133"/>
      <c r="T61" s="134"/>
    </row>
    <row r="62" spans="1:20" outlineLevel="1" x14ac:dyDescent="0.25">
      <c r="A62" s="5" t="s">
        <v>725</v>
      </c>
      <c r="B62" s="75" t="s">
        <v>156</v>
      </c>
      <c r="C62" s="25"/>
      <c r="D62" s="92">
        <v>1</v>
      </c>
      <c r="E62" s="110">
        <f>E32</f>
        <v>26000</v>
      </c>
      <c r="F62" s="93">
        <f>D62*E62</f>
        <v>26000</v>
      </c>
      <c r="G62" s="74">
        <f>H62-F62</f>
        <v>0</v>
      </c>
      <c r="H62" s="95">
        <f t="shared" si="15"/>
        <v>26000</v>
      </c>
      <c r="I62" s="112">
        <f>F62</f>
        <v>26000</v>
      </c>
      <c r="J62" s="57"/>
      <c r="K62" s="57"/>
      <c r="L62" s="57"/>
      <c r="M62" s="57"/>
      <c r="N62" s="57"/>
      <c r="O62" s="57"/>
      <c r="P62" s="68"/>
      <c r="Q62" s="58"/>
      <c r="R62" s="76"/>
      <c r="S62" s="76"/>
      <c r="T62" s="128"/>
    </row>
    <row r="63" spans="1:20" outlineLevel="1" x14ac:dyDescent="0.25">
      <c r="A63" s="4" t="s">
        <v>726</v>
      </c>
      <c r="B63" s="75" t="s">
        <v>157</v>
      </c>
      <c r="C63" s="25"/>
      <c r="D63" s="92">
        <v>1</v>
      </c>
      <c r="E63" s="110">
        <v>2000</v>
      </c>
      <c r="F63" s="93">
        <f>D63*E63</f>
        <v>2000</v>
      </c>
      <c r="G63" s="74">
        <f>H63-F63</f>
        <v>0</v>
      </c>
      <c r="H63" s="95">
        <f t="shared" si="15"/>
        <v>2000</v>
      </c>
      <c r="I63" s="112">
        <f>F63</f>
        <v>2000</v>
      </c>
      <c r="J63" s="57"/>
      <c r="K63" s="57"/>
      <c r="L63" s="57"/>
      <c r="M63" s="57"/>
      <c r="N63" s="57"/>
      <c r="O63" s="57"/>
      <c r="P63" s="68"/>
      <c r="Q63" s="58"/>
      <c r="R63" s="76"/>
      <c r="S63" s="76"/>
      <c r="T63" s="128"/>
    </row>
    <row r="64" spans="1:20" outlineLevel="1" x14ac:dyDescent="0.25">
      <c r="A64" s="4" t="s">
        <v>727</v>
      </c>
      <c r="B64" s="75" t="s">
        <v>47</v>
      </c>
      <c r="C64" s="25"/>
      <c r="D64" s="92"/>
      <c r="E64" s="110"/>
      <c r="F64" s="93">
        <f>D64*E64</f>
        <v>0</v>
      </c>
      <c r="G64" s="74">
        <f>H64-F64</f>
        <v>0</v>
      </c>
      <c r="H64" s="95">
        <f t="shared" si="15"/>
        <v>0</v>
      </c>
      <c r="I64" s="112"/>
      <c r="J64" s="57"/>
      <c r="K64" s="57"/>
      <c r="L64" s="57"/>
      <c r="M64" s="57"/>
      <c r="N64" s="57"/>
      <c r="O64" s="57"/>
      <c r="P64" s="68"/>
      <c r="Q64" s="58"/>
      <c r="R64" s="76"/>
      <c r="S64" s="76"/>
      <c r="T64" s="128"/>
    </row>
    <row r="65" spans="1:20" s="3" customFormat="1" ht="15.75" x14ac:dyDescent="0.25">
      <c r="A65" s="7" t="s">
        <v>741</v>
      </c>
      <c r="B65" s="13" t="s">
        <v>713</v>
      </c>
      <c r="C65" s="23"/>
      <c r="D65" s="24"/>
      <c r="E65" s="17"/>
      <c r="F65" s="82">
        <f>SUM(F66:F70)</f>
        <v>13880</v>
      </c>
      <c r="G65" s="89">
        <f>SUM(G66:G70)</f>
        <v>0</v>
      </c>
      <c r="H65" s="18">
        <f t="shared" ref="H65:H70" si="22">SUM(I65:Q65)</f>
        <v>13880</v>
      </c>
      <c r="I65" s="54">
        <f t="shared" ref="I65:Q65" si="23">SUM(I66:I70)</f>
        <v>0</v>
      </c>
      <c r="J65" s="55">
        <f t="shared" si="23"/>
        <v>5380</v>
      </c>
      <c r="K65" s="55">
        <f t="shared" si="23"/>
        <v>0</v>
      </c>
      <c r="L65" s="55">
        <f t="shared" si="23"/>
        <v>0</v>
      </c>
      <c r="M65" s="55">
        <f t="shared" si="23"/>
        <v>0</v>
      </c>
      <c r="N65" s="55">
        <f t="shared" si="23"/>
        <v>0</v>
      </c>
      <c r="O65" s="55">
        <f t="shared" si="23"/>
        <v>0</v>
      </c>
      <c r="P65" s="55">
        <f t="shared" si="23"/>
        <v>8500</v>
      </c>
      <c r="Q65" s="56">
        <f t="shared" si="23"/>
        <v>0</v>
      </c>
      <c r="R65" s="33">
        <v>14000</v>
      </c>
      <c r="S65" s="33">
        <v>5101.84</v>
      </c>
      <c r="T65" s="127">
        <f>S65*100/R65</f>
        <v>36.441714285714284</v>
      </c>
    </row>
    <row r="66" spans="1:20" outlineLevel="1" x14ac:dyDescent="0.25">
      <c r="A66" s="5" t="s">
        <v>742</v>
      </c>
      <c r="B66" s="75" t="s">
        <v>927</v>
      </c>
      <c r="C66" s="25"/>
      <c r="D66" s="92">
        <v>1</v>
      </c>
      <c r="E66" s="110">
        <v>3700</v>
      </c>
      <c r="F66" s="93">
        <f>D66*E66</f>
        <v>3700</v>
      </c>
      <c r="G66" s="74">
        <f>H66-F66</f>
        <v>0</v>
      </c>
      <c r="H66" s="95">
        <f t="shared" si="22"/>
        <v>3700</v>
      </c>
      <c r="I66" s="112"/>
      <c r="J66" s="57">
        <v>3700</v>
      </c>
      <c r="K66" s="57"/>
      <c r="L66" s="57"/>
      <c r="M66" s="57"/>
      <c r="N66" s="57"/>
      <c r="O66" s="57"/>
      <c r="P66" s="68"/>
      <c r="Q66" s="58"/>
      <c r="R66" s="76"/>
      <c r="S66" s="76"/>
      <c r="T66" s="128"/>
    </row>
    <row r="67" spans="1:20" outlineLevel="1" x14ac:dyDescent="0.25">
      <c r="A67" s="4" t="s">
        <v>729</v>
      </c>
      <c r="B67" s="75" t="s">
        <v>928</v>
      </c>
      <c r="C67" s="25"/>
      <c r="D67" s="92">
        <v>1</v>
      </c>
      <c r="E67" s="110">
        <v>1500</v>
      </c>
      <c r="F67" s="93">
        <f>D67*E67</f>
        <v>1500</v>
      </c>
      <c r="G67" s="74">
        <f>H67-F67</f>
        <v>0</v>
      </c>
      <c r="H67" s="95">
        <f t="shared" si="22"/>
        <v>1500</v>
      </c>
      <c r="I67" s="112"/>
      <c r="J67" s="57">
        <v>1500</v>
      </c>
      <c r="K67" s="57"/>
      <c r="L67" s="57"/>
      <c r="M67" s="57"/>
      <c r="N67" s="57"/>
      <c r="O67" s="57"/>
      <c r="P67" s="68"/>
      <c r="Q67" s="58"/>
      <c r="R67" s="76"/>
      <c r="S67" s="76"/>
      <c r="T67" s="128"/>
    </row>
    <row r="68" spans="1:20" outlineLevel="1" x14ac:dyDescent="0.25">
      <c r="A68" s="4" t="s">
        <v>743</v>
      </c>
      <c r="B68" s="75" t="s">
        <v>926</v>
      </c>
      <c r="C68" s="25"/>
      <c r="D68" s="92">
        <v>1</v>
      </c>
      <c r="E68" s="110">
        <v>180</v>
      </c>
      <c r="F68" s="93">
        <f>D68*E68</f>
        <v>180</v>
      </c>
      <c r="G68" s="74">
        <f>H68-F68</f>
        <v>0</v>
      </c>
      <c r="H68" s="95">
        <f t="shared" si="22"/>
        <v>180</v>
      </c>
      <c r="I68" s="112"/>
      <c r="J68" s="57">
        <v>180</v>
      </c>
      <c r="K68" s="57"/>
      <c r="L68" s="57"/>
      <c r="M68" s="57"/>
      <c r="N68" s="57"/>
      <c r="O68" s="57"/>
      <c r="P68" s="68"/>
      <c r="Q68" s="58"/>
      <c r="R68" s="76"/>
      <c r="S68" s="76"/>
      <c r="T68" s="128"/>
    </row>
    <row r="69" spans="1:20" outlineLevel="1" x14ac:dyDescent="0.25">
      <c r="A69" s="4" t="s">
        <v>744</v>
      </c>
      <c r="B69" s="75" t="s">
        <v>951</v>
      </c>
      <c r="C69" s="25"/>
      <c r="D69" s="92">
        <v>1</v>
      </c>
      <c r="E69" s="110">
        <v>8500</v>
      </c>
      <c r="F69" s="93">
        <f>D69*E69</f>
        <v>8500</v>
      </c>
      <c r="G69" s="74">
        <f>H69-F69</f>
        <v>0</v>
      </c>
      <c r="H69" s="95">
        <f t="shared" si="22"/>
        <v>8500</v>
      </c>
      <c r="I69" s="112"/>
      <c r="J69" s="57"/>
      <c r="K69" s="57"/>
      <c r="L69" s="57"/>
      <c r="M69" s="57"/>
      <c r="N69" s="57"/>
      <c r="O69" s="57"/>
      <c r="P69" s="68">
        <v>8500</v>
      </c>
      <c r="Q69" s="58"/>
      <c r="R69" s="76"/>
      <c r="S69" s="76"/>
      <c r="T69" s="128"/>
    </row>
    <row r="70" spans="1:20" outlineLevel="1" x14ac:dyDescent="0.25">
      <c r="A70" s="4" t="s">
        <v>972</v>
      </c>
      <c r="B70" s="75" t="s">
        <v>47</v>
      </c>
      <c r="C70" s="25"/>
      <c r="D70" s="92"/>
      <c r="E70" s="110"/>
      <c r="F70" s="93">
        <f>D70*E70</f>
        <v>0</v>
      </c>
      <c r="G70" s="74">
        <f>H70-F70</f>
        <v>0</v>
      </c>
      <c r="H70" s="95">
        <f t="shared" si="22"/>
        <v>0</v>
      </c>
      <c r="I70" s="112"/>
      <c r="J70" s="57"/>
      <c r="K70" s="57"/>
      <c r="L70" s="57"/>
      <c r="M70" s="57"/>
      <c r="N70" s="57"/>
      <c r="O70" s="57"/>
      <c r="P70" s="68"/>
      <c r="Q70" s="58"/>
      <c r="R70" s="76"/>
      <c r="S70" s="76"/>
      <c r="T70" s="128"/>
    </row>
    <row r="71" spans="1:20" s="3" customFormat="1" ht="15.75" x14ac:dyDescent="0.25">
      <c r="A71" s="7" t="s">
        <v>745</v>
      </c>
      <c r="B71" s="13" t="s">
        <v>714</v>
      </c>
      <c r="C71" s="23"/>
      <c r="D71" s="24"/>
      <c r="E71" s="17"/>
      <c r="F71" s="82">
        <f>SUM(F72:F76)</f>
        <v>7640</v>
      </c>
      <c r="G71" s="89">
        <f t="shared" ref="G71:Q71" si="24">SUM(G72:G76)</f>
        <v>0</v>
      </c>
      <c r="H71" s="18">
        <f t="shared" si="15"/>
        <v>7640</v>
      </c>
      <c r="I71" s="54">
        <f t="shared" si="24"/>
        <v>0</v>
      </c>
      <c r="J71" s="55">
        <f t="shared" si="24"/>
        <v>0</v>
      </c>
      <c r="K71" s="55">
        <f t="shared" si="24"/>
        <v>0</v>
      </c>
      <c r="L71" s="55">
        <f t="shared" si="24"/>
        <v>0</v>
      </c>
      <c r="M71" s="55">
        <f t="shared" si="24"/>
        <v>0</v>
      </c>
      <c r="N71" s="55">
        <f t="shared" si="24"/>
        <v>0</v>
      </c>
      <c r="O71" s="55">
        <f t="shared" si="24"/>
        <v>0</v>
      </c>
      <c r="P71" s="55">
        <f t="shared" si="24"/>
        <v>7640</v>
      </c>
      <c r="Q71" s="56">
        <f t="shared" si="24"/>
        <v>0</v>
      </c>
      <c r="R71" s="33">
        <v>7640</v>
      </c>
      <c r="S71" s="33">
        <v>3497.79</v>
      </c>
      <c r="T71" s="127">
        <f>S71*100/R71</f>
        <v>45.782591623036652</v>
      </c>
    </row>
    <row r="72" spans="1:20" outlineLevel="1" x14ac:dyDescent="0.25">
      <c r="A72" s="5" t="s">
        <v>746</v>
      </c>
      <c r="B72" s="75" t="s">
        <v>924</v>
      </c>
      <c r="C72" s="25"/>
      <c r="D72" s="92">
        <v>1</v>
      </c>
      <c r="E72" s="110">
        <v>1000</v>
      </c>
      <c r="F72" s="93">
        <f>D72*E72</f>
        <v>1000</v>
      </c>
      <c r="G72" s="74">
        <f t="shared" si="3"/>
        <v>0</v>
      </c>
      <c r="H72" s="95">
        <f t="shared" si="15"/>
        <v>1000</v>
      </c>
      <c r="I72" s="112"/>
      <c r="J72" s="57"/>
      <c r="K72" s="57"/>
      <c r="L72" s="57"/>
      <c r="M72" s="57"/>
      <c r="N72" s="57"/>
      <c r="O72" s="57"/>
      <c r="P72" s="68">
        <v>1000</v>
      </c>
      <c r="Q72" s="58"/>
      <c r="R72" s="76"/>
      <c r="S72" s="76"/>
      <c r="T72" s="128"/>
    </row>
    <row r="73" spans="1:20" outlineLevel="1" x14ac:dyDescent="0.25">
      <c r="A73" s="4" t="s">
        <v>747</v>
      </c>
      <c r="B73" s="75" t="s">
        <v>925</v>
      </c>
      <c r="C73" s="25"/>
      <c r="D73" s="92">
        <v>1</v>
      </c>
      <c r="E73" s="110">
        <v>400</v>
      </c>
      <c r="F73" s="93">
        <f>D73*E73</f>
        <v>400</v>
      </c>
      <c r="G73" s="74">
        <f t="shared" si="3"/>
        <v>0</v>
      </c>
      <c r="H73" s="95">
        <f t="shared" si="15"/>
        <v>400</v>
      </c>
      <c r="I73" s="112"/>
      <c r="J73" s="57"/>
      <c r="K73" s="57"/>
      <c r="L73" s="57"/>
      <c r="M73" s="57"/>
      <c r="N73" s="57"/>
      <c r="O73" s="57"/>
      <c r="P73" s="68">
        <v>400</v>
      </c>
      <c r="Q73" s="58"/>
      <c r="R73" s="76"/>
      <c r="S73" s="76"/>
      <c r="T73" s="128"/>
    </row>
    <row r="74" spans="1:20" outlineLevel="1" x14ac:dyDescent="0.25">
      <c r="A74" s="4" t="s">
        <v>730</v>
      </c>
      <c r="B74" s="75" t="s">
        <v>926</v>
      </c>
      <c r="C74" s="25"/>
      <c r="D74" s="92">
        <v>1</v>
      </c>
      <c r="E74" s="110">
        <v>1540</v>
      </c>
      <c r="F74" s="93">
        <f>D74*E74</f>
        <v>1540</v>
      </c>
      <c r="G74" s="74">
        <f t="shared" si="3"/>
        <v>0</v>
      </c>
      <c r="H74" s="95">
        <f t="shared" si="15"/>
        <v>1540</v>
      </c>
      <c r="I74" s="112"/>
      <c r="J74" s="57"/>
      <c r="K74" s="57"/>
      <c r="L74" s="57"/>
      <c r="M74" s="57"/>
      <c r="N74" s="57"/>
      <c r="O74" s="57"/>
      <c r="P74" s="68">
        <v>1540</v>
      </c>
      <c r="Q74" s="58"/>
      <c r="R74" s="76"/>
      <c r="S74" s="76"/>
      <c r="T74" s="128"/>
    </row>
    <row r="75" spans="1:20" outlineLevel="1" x14ac:dyDescent="0.25">
      <c r="A75" s="4" t="s">
        <v>748</v>
      </c>
      <c r="B75" s="75" t="s">
        <v>337</v>
      </c>
      <c r="C75" s="25"/>
      <c r="D75" s="92">
        <v>1</v>
      </c>
      <c r="E75" s="110">
        <v>4700</v>
      </c>
      <c r="F75" s="93">
        <f>D75*E75</f>
        <v>4700</v>
      </c>
      <c r="G75" s="74">
        <f t="shared" si="3"/>
        <v>0</v>
      </c>
      <c r="H75" s="95">
        <f t="shared" si="15"/>
        <v>4700</v>
      </c>
      <c r="I75" s="112"/>
      <c r="J75" s="57"/>
      <c r="K75" s="57"/>
      <c r="L75" s="57"/>
      <c r="M75" s="57"/>
      <c r="N75" s="57"/>
      <c r="O75" s="57"/>
      <c r="P75" s="68">
        <v>4700</v>
      </c>
      <c r="Q75" s="58"/>
      <c r="R75" s="76"/>
      <c r="S75" s="76"/>
      <c r="T75" s="128"/>
    </row>
    <row r="76" spans="1:20" outlineLevel="1" x14ac:dyDescent="0.25">
      <c r="A76" s="4" t="s">
        <v>749</v>
      </c>
      <c r="B76" s="75" t="s">
        <v>47</v>
      </c>
      <c r="C76" s="25"/>
      <c r="D76" s="92"/>
      <c r="E76" s="110"/>
      <c r="F76" s="93">
        <f>D76*E76</f>
        <v>0</v>
      </c>
      <c r="G76" s="74">
        <f t="shared" ref="G76:G140" si="25">H76-F76</f>
        <v>0</v>
      </c>
      <c r="H76" s="95">
        <f t="shared" si="15"/>
        <v>0</v>
      </c>
      <c r="I76" s="112"/>
      <c r="J76" s="57"/>
      <c r="K76" s="57"/>
      <c r="L76" s="57"/>
      <c r="M76" s="57"/>
      <c r="N76" s="57"/>
      <c r="O76" s="57"/>
      <c r="P76" s="68"/>
      <c r="Q76" s="58"/>
      <c r="R76" s="76"/>
      <c r="S76" s="76"/>
      <c r="T76" s="128"/>
    </row>
    <row r="77" spans="1:20" s="3" customFormat="1" ht="15.75" x14ac:dyDescent="0.25">
      <c r="A77" s="7" t="s">
        <v>963</v>
      </c>
      <c r="B77" s="13" t="s">
        <v>988</v>
      </c>
      <c r="C77" s="23"/>
      <c r="D77" s="24"/>
      <c r="E77" s="17"/>
      <c r="F77" s="82">
        <f>SUM(F78:F79)</f>
        <v>1900</v>
      </c>
      <c r="G77" s="89">
        <f t="shared" si="25"/>
        <v>0</v>
      </c>
      <c r="H77" s="18">
        <f t="shared" si="15"/>
        <v>1900</v>
      </c>
      <c r="I77" s="54">
        <f t="shared" ref="I77:Q77" si="26">SUM(I78:I79)</f>
        <v>1900</v>
      </c>
      <c r="J77" s="55">
        <f t="shared" si="26"/>
        <v>0</v>
      </c>
      <c r="K77" s="55">
        <f t="shared" si="26"/>
        <v>0</v>
      </c>
      <c r="L77" s="55">
        <f t="shared" si="26"/>
        <v>0</v>
      </c>
      <c r="M77" s="55">
        <f t="shared" si="26"/>
        <v>0</v>
      </c>
      <c r="N77" s="55">
        <f t="shared" si="26"/>
        <v>0</v>
      </c>
      <c r="O77" s="55">
        <f t="shared" si="26"/>
        <v>0</v>
      </c>
      <c r="P77" s="55">
        <f t="shared" si="26"/>
        <v>0</v>
      </c>
      <c r="Q77" s="56">
        <f t="shared" si="26"/>
        <v>0</v>
      </c>
      <c r="R77" s="33"/>
      <c r="S77" s="33">
        <f>SUM(S78:S79)</f>
        <v>0</v>
      </c>
      <c r="T77" s="127" t="e">
        <f>S77*100/R77</f>
        <v>#DIV/0!</v>
      </c>
    </row>
    <row r="78" spans="1:20" outlineLevel="1" x14ac:dyDescent="0.25">
      <c r="A78" s="5" t="s">
        <v>896</v>
      </c>
      <c r="B78" s="75" t="s">
        <v>988</v>
      </c>
      <c r="C78" s="25"/>
      <c r="D78" s="92">
        <v>1</v>
      </c>
      <c r="E78" s="110">
        <v>1900</v>
      </c>
      <c r="F78" s="93">
        <f>D78*E78</f>
        <v>1900</v>
      </c>
      <c r="G78" s="74">
        <f t="shared" si="25"/>
        <v>0</v>
      </c>
      <c r="H78" s="95">
        <f t="shared" si="15"/>
        <v>1900</v>
      </c>
      <c r="I78" s="112">
        <v>1900</v>
      </c>
      <c r="J78" s="57"/>
      <c r="K78" s="57"/>
      <c r="L78" s="57"/>
      <c r="M78" s="57"/>
      <c r="N78" s="57"/>
      <c r="O78" s="57"/>
      <c r="P78" s="68"/>
      <c r="Q78" s="58"/>
      <c r="R78" s="76"/>
      <c r="S78" s="76"/>
      <c r="T78" s="128"/>
    </row>
    <row r="79" spans="1:20" outlineLevel="1" x14ac:dyDescent="0.25">
      <c r="A79" s="4" t="s">
        <v>897</v>
      </c>
      <c r="B79" s="75" t="s">
        <v>47</v>
      </c>
      <c r="C79" s="25"/>
      <c r="D79" s="92"/>
      <c r="E79" s="110"/>
      <c r="F79" s="93">
        <f>D79*E79</f>
        <v>0</v>
      </c>
      <c r="G79" s="74">
        <f t="shared" si="25"/>
        <v>0</v>
      </c>
      <c r="H79" s="95">
        <f t="shared" si="15"/>
        <v>0</v>
      </c>
      <c r="I79" s="112"/>
      <c r="J79" s="57"/>
      <c r="K79" s="57"/>
      <c r="L79" s="57"/>
      <c r="M79" s="57"/>
      <c r="N79" s="57"/>
      <c r="O79" s="57"/>
      <c r="P79" s="68"/>
      <c r="Q79" s="58"/>
      <c r="R79" s="76"/>
      <c r="S79" s="76"/>
      <c r="T79" s="128"/>
    </row>
    <row r="80" spans="1:20" s="3" customFormat="1" ht="15.75" x14ac:dyDescent="0.25">
      <c r="A80" s="7" t="s">
        <v>984</v>
      </c>
      <c r="B80" s="13" t="s">
        <v>1000</v>
      </c>
      <c r="C80" s="23"/>
      <c r="D80" s="24"/>
      <c r="E80" s="17"/>
      <c r="F80" s="82">
        <f>SUM(F81:F83)</f>
        <v>1300</v>
      </c>
      <c r="G80" s="89">
        <f>H80-F80</f>
        <v>0</v>
      </c>
      <c r="H80" s="18">
        <f>SUM(I80:Q80)</f>
        <v>1300</v>
      </c>
      <c r="I80" s="54">
        <f t="shared" ref="I80:Q80" si="27">SUM(I81:I83)</f>
        <v>500</v>
      </c>
      <c r="J80" s="55">
        <f t="shared" si="27"/>
        <v>0</v>
      </c>
      <c r="K80" s="55">
        <f t="shared" si="27"/>
        <v>0</v>
      </c>
      <c r="L80" s="55">
        <f t="shared" si="27"/>
        <v>0</v>
      </c>
      <c r="M80" s="55">
        <f t="shared" si="27"/>
        <v>0</v>
      </c>
      <c r="N80" s="55">
        <f t="shared" si="27"/>
        <v>0</v>
      </c>
      <c r="O80" s="55">
        <f t="shared" si="27"/>
        <v>0</v>
      </c>
      <c r="P80" s="55">
        <f t="shared" si="27"/>
        <v>0</v>
      </c>
      <c r="Q80" s="56">
        <f t="shared" si="27"/>
        <v>800</v>
      </c>
      <c r="R80" s="33"/>
      <c r="S80" s="33">
        <f>SUM(S81:S83)</f>
        <v>0</v>
      </c>
      <c r="T80" s="127" t="e">
        <f>S80*100/R80</f>
        <v>#DIV/0!</v>
      </c>
    </row>
    <row r="81" spans="1:20" outlineLevel="1" x14ac:dyDescent="0.25">
      <c r="A81" s="5" t="s">
        <v>985</v>
      </c>
      <c r="B81" s="75" t="s">
        <v>1002</v>
      </c>
      <c r="C81" s="25"/>
      <c r="D81" s="92">
        <v>1</v>
      </c>
      <c r="E81" s="110">
        <v>800</v>
      </c>
      <c r="F81" s="93">
        <f>D81*E81</f>
        <v>800</v>
      </c>
      <c r="G81" s="74">
        <f>H81-F81</f>
        <v>0</v>
      </c>
      <c r="H81" s="95">
        <f>SUM(I81:Q81)</f>
        <v>800</v>
      </c>
      <c r="I81" s="112"/>
      <c r="J81" s="57"/>
      <c r="K81" s="57"/>
      <c r="L81" s="57"/>
      <c r="M81" s="57"/>
      <c r="N81" s="57"/>
      <c r="O81" s="57"/>
      <c r="P81" s="68"/>
      <c r="Q81" s="58">
        <v>800</v>
      </c>
      <c r="R81" s="76"/>
      <c r="S81" s="76"/>
      <c r="T81" s="128"/>
    </row>
    <row r="82" spans="1:20" outlineLevel="1" x14ac:dyDescent="0.25">
      <c r="A82" s="4" t="s">
        <v>986</v>
      </c>
      <c r="B82" s="75" t="s">
        <v>1001</v>
      </c>
      <c r="C82" s="25"/>
      <c r="D82" s="92">
        <v>1</v>
      </c>
      <c r="E82" s="110">
        <v>500</v>
      </c>
      <c r="F82" s="93">
        <f>D82*E82</f>
        <v>500</v>
      </c>
      <c r="G82" s="74">
        <f>H82-F82</f>
        <v>0</v>
      </c>
      <c r="H82" s="95">
        <f>SUM(I82:Q82)</f>
        <v>500</v>
      </c>
      <c r="I82" s="112">
        <v>500</v>
      </c>
      <c r="J82" s="57"/>
      <c r="K82" s="57"/>
      <c r="L82" s="57"/>
      <c r="M82" s="57"/>
      <c r="N82" s="57"/>
      <c r="O82" s="57"/>
      <c r="P82" s="68"/>
      <c r="Q82" s="58"/>
      <c r="R82" s="76"/>
      <c r="S82" s="76"/>
      <c r="T82" s="128"/>
    </row>
    <row r="83" spans="1:20" outlineLevel="1" x14ac:dyDescent="0.25">
      <c r="A83" s="4" t="s">
        <v>987</v>
      </c>
      <c r="B83" s="75" t="s">
        <v>47</v>
      </c>
      <c r="C83" s="25"/>
      <c r="D83" s="92"/>
      <c r="E83" s="110"/>
      <c r="F83" s="93">
        <f>D83*E83</f>
        <v>0</v>
      </c>
      <c r="G83" s="74">
        <f>H83-F83</f>
        <v>0</v>
      </c>
      <c r="H83" s="95">
        <f>SUM(I83:Q83)</f>
        <v>0</v>
      </c>
      <c r="I83" s="112"/>
      <c r="J83" s="57"/>
      <c r="K83" s="57"/>
      <c r="L83" s="57"/>
      <c r="M83" s="57"/>
      <c r="N83" s="57"/>
      <c r="O83" s="57"/>
      <c r="P83" s="68"/>
      <c r="Q83" s="58"/>
      <c r="R83" s="76"/>
      <c r="S83" s="76"/>
      <c r="T83" s="128"/>
    </row>
    <row r="84" spans="1:20" s="2" customFormat="1" ht="21" x14ac:dyDescent="0.35">
      <c r="A84" s="8" t="s">
        <v>116</v>
      </c>
      <c r="B84" s="12" t="s">
        <v>0</v>
      </c>
      <c r="C84" s="21"/>
      <c r="D84" s="22"/>
      <c r="E84" s="67"/>
      <c r="F84" s="84">
        <f t="shared" ref="F84:Q84" si="28">F85+F92+F99+F104+F108+F112+F116+F120+F124+F128+F139+F144</f>
        <v>28100</v>
      </c>
      <c r="G84" s="90">
        <f t="shared" si="25"/>
        <v>0</v>
      </c>
      <c r="H84" s="16">
        <f t="shared" si="15"/>
        <v>28100</v>
      </c>
      <c r="I84" s="51">
        <f t="shared" si="28"/>
        <v>16900</v>
      </c>
      <c r="J84" s="51">
        <f t="shared" si="28"/>
        <v>0</v>
      </c>
      <c r="K84" s="51">
        <f t="shared" si="28"/>
        <v>500</v>
      </c>
      <c r="L84" s="51">
        <f>L85+L92+L99+L104+L108+L112+L116+L120+L124+L128+L139+L144</f>
        <v>9000</v>
      </c>
      <c r="M84" s="51">
        <f>M85+M92+M99+M104+M108+M112+M116+M120+M124+M128+M139+M144</f>
        <v>500</v>
      </c>
      <c r="N84" s="51">
        <f t="shared" si="28"/>
        <v>0</v>
      </c>
      <c r="O84" s="51">
        <f t="shared" si="28"/>
        <v>0</v>
      </c>
      <c r="P84" s="51">
        <f t="shared" si="28"/>
        <v>0</v>
      </c>
      <c r="Q84" s="59">
        <f t="shared" si="28"/>
        <v>1200</v>
      </c>
      <c r="R84" s="32">
        <f>R85+R92+R99+R104+R108+R112+R116+R120+R124+R128+R139+R144</f>
        <v>20430</v>
      </c>
      <c r="S84" s="32">
        <f>S85+S92+S99+S104+S108+S112+S116+S120+S124+S128+S139+S144</f>
        <v>19036.990000000002</v>
      </c>
      <c r="T84" s="126">
        <f>S84*100/R84</f>
        <v>93.181546744982882</v>
      </c>
    </row>
    <row r="85" spans="1:20" s="3" customFormat="1" ht="15.75" x14ac:dyDescent="0.25">
      <c r="A85" s="7" t="s">
        <v>117</v>
      </c>
      <c r="B85" s="13" t="s">
        <v>696</v>
      </c>
      <c r="C85" s="23"/>
      <c r="D85" s="24"/>
      <c r="E85" s="17"/>
      <c r="F85" s="82">
        <f>SUM(F86:F91)</f>
        <v>9950</v>
      </c>
      <c r="G85" s="89">
        <f t="shared" si="25"/>
        <v>0</v>
      </c>
      <c r="H85" s="18">
        <f t="shared" si="15"/>
        <v>9950</v>
      </c>
      <c r="I85" s="54">
        <f>SUM(I86:I91)</f>
        <v>4300</v>
      </c>
      <c r="J85" s="55">
        <f t="shared" ref="J85:Q85" si="29">SUM(J86:J91)</f>
        <v>0</v>
      </c>
      <c r="K85" s="55">
        <f t="shared" si="29"/>
        <v>500</v>
      </c>
      <c r="L85" s="55">
        <f t="shared" si="29"/>
        <v>4650</v>
      </c>
      <c r="M85" s="55">
        <f>SUM(M86:M91)</f>
        <v>500</v>
      </c>
      <c r="N85" s="55">
        <f t="shared" si="29"/>
        <v>0</v>
      </c>
      <c r="O85" s="55">
        <f t="shared" si="29"/>
        <v>0</v>
      </c>
      <c r="P85" s="55">
        <f>SUM(P86:P91)</f>
        <v>0</v>
      </c>
      <c r="Q85" s="56">
        <f t="shared" si="29"/>
        <v>0</v>
      </c>
      <c r="R85" s="33">
        <v>10000</v>
      </c>
      <c r="S85" s="33">
        <f>6885.26+2499.76</f>
        <v>9385.02</v>
      </c>
      <c r="T85" s="127">
        <f>S85*100/R85</f>
        <v>93.850200000000001</v>
      </c>
    </row>
    <row r="86" spans="1:20" outlineLevel="1" x14ac:dyDescent="0.25">
      <c r="A86" s="5" t="s">
        <v>118</v>
      </c>
      <c r="B86" s="75" t="s">
        <v>20</v>
      </c>
      <c r="C86" s="25"/>
      <c r="D86" s="92">
        <v>1</v>
      </c>
      <c r="E86" s="110">
        <v>6800</v>
      </c>
      <c r="F86" s="93">
        <f t="shared" ref="F86:F91" si="30">D86*E86</f>
        <v>6800</v>
      </c>
      <c r="G86" s="74">
        <f t="shared" si="25"/>
        <v>0</v>
      </c>
      <c r="H86" s="95">
        <f t="shared" si="15"/>
        <v>6800</v>
      </c>
      <c r="I86" s="112">
        <v>2400</v>
      </c>
      <c r="J86" s="57"/>
      <c r="K86" s="57"/>
      <c r="L86" s="57">
        <v>4400</v>
      </c>
      <c r="M86" s="57"/>
      <c r="N86" s="57"/>
      <c r="O86" s="57"/>
      <c r="P86" s="68"/>
      <c r="Q86" s="58"/>
      <c r="R86" s="76"/>
      <c r="S86" s="76"/>
      <c r="T86" s="128"/>
    </row>
    <row r="87" spans="1:20" outlineLevel="1" x14ac:dyDescent="0.25">
      <c r="A87" s="4" t="s">
        <v>119</v>
      </c>
      <c r="B87" s="75" t="s">
        <v>692</v>
      </c>
      <c r="C87" s="25" t="s">
        <v>106</v>
      </c>
      <c r="D87" s="92">
        <v>1</v>
      </c>
      <c r="E87" s="110">
        <v>1300</v>
      </c>
      <c r="F87" s="93">
        <f t="shared" si="30"/>
        <v>1300</v>
      </c>
      <c r="G87" s="74">
        <f t="shared" si="25"/>
        <v>0</v>
      </c>
      <c r="H87" s="95">
        <f t="shared" si="15"/>
        <v>1300</v>
      </c>
      <c r="I87" s="112">
        <v>1300</v>
      </c>
      <c r="J87" s="57"/>
      <c r="K87" s="57"/>
      <c r="L87" s="57"/>
      <c r="M87" s="57"/>
      <c r="N87" s="57"/>
      <c r="O87" s="57"/>
      <c r="P87" s="68"/>
      <c r="Q87" s="58"/>
      <c r="R87" s="76"/>
      <c r="S87" s="76"/>
      <c r="T87" s="128"/>
    </row>
    <row r="88" spans="1:20" outlineLevel="1" x14ac:dyDescent="0.25">
      <c r="A88" s="4" t="s">
        <v>120</v>
      </c>
      <c r="B88" s="75" t="s">
        <v>16</v>
      </c>
      <c r="C88" s="25" t="s">
        <v>9</v>
      </c>
      <c r="D88" s="92">
        <v>1</v>
      </c>
      <c r="E88" s="110">
        <v>500</v>
      </c>
      <c r="F88" s="93">
        <f t="shared" si="30"/>
        <v>500</v>
      </c>
      <c r="G88" s="74">
        <f t="shared" si="25"/>
        <v>0</v>
      </c>
      <c r="H88" s="95">
        <f t="shared" si="15"/>
        <v>500</v>
      </c>
      <c r="I88" s="112"/>
      <c r="J88" s="57"/>
      <c r="K88" s="57"/>
      <c r="L88" s="57"/>
      <c r="M88" s="57">
        <v>500</v>
      </c>
      <c r="N88" s="57"/>
      <c r="O88" s="57"/>
      <c r="P88" s="68"/>
      <c r="Q88" s="58"/>
      <c r="R88" s="76"/>
      <c r="S88" s="76"/>
      <c r="T88" s="128"/>
    </row>
    <row r="89" spans="1:20" outlineLevel="1" x14ac:dyDescent="0.25">
      <c r="A89" s="4" t="s">
        <v>121</v>
      </c>
      <c r="B89" s="75" t="s">
        <v>17</v>
      </c>
      <c r="C89" s="25" t="s">
        <v>9</v>
      </c>
      <c r="D89" s="92">
        <v>1</v>
      </c>
      <c r="E89" s="110">
        <v>500</v>
      </c>
      <c r="F89" s="93">
        <f t="shared" si="30"/>
        <v>500</v>
      </c>
      <c r="G89" s="74">
        <f t="shared" si="25"/>
        <v>0</v>
      </c>
      <c r="H89" s="95">
        <f t="shared" si="15"/>
        <v>500</v>
      </c>
      <c r="I89" s="112">
        <v>500</v>
      </c>
      <c r="J89" s="57"/>
      <c r="K89" s="57"/>
      <c r="L89" s="57"/>
      <c r="M89" s="57"/>
      <c r="N89" s="57"/>
      <c r="O89" s="57"/>
      <c r="P89" s="68"/>
      <c r="Q89" s="58"/>
      <c r="R89" s="76"/>
      <c r="S89" s="76"/>
      <c r="T89" s="128"/>
    </row>
    <row r="90" spans="1:20" outlineLevel="1" x14ac:dyDescent="0.25">
      <c r="A90" s="4" t="s">
        <v>122</v>
      </c>
      <c r="B90" s="75" t="s">
        <v>18</v>
      </c>
      <c r="C90" s="25" t="s">
        <v>694</v>
      </c>
      <c r="D90" s="92">
        <v>1</v>
      </c>
      <c r="E90" s="110">
        <v>750</v>
      </c>
      <c r="F90" s="93">
        <f t="shared" si="30"/>
        <v>750</v>
      </c>
      <c r="G90" s="74">
        <f t="shared" si="25"/>
        <v>0</v>
      </c>
      <c r="H90" s="95">
        <f t="shared" si="15"/>
        <v>750</v>
      </c>
      <c r="I90" s="112"/>
      <c r="J90" s="57"/>
      <c r="K90" s="57">
        <v>500</v>
      </c>
      <c r="L90" s="57">
        <v>250</v>
      </c>
      <c r="M90" s="57"/>
      <c r="N90" s="57"/>
      <c r="O90" s="57"/>
      <c r="P90" s="68"/>
      <c r="Q90" s="58"/>
      <c r="R90" s="76"/>
      <c r="S90" s="76"/>
      <c r="T90" s="128"/>
    </row>
    <row r="91" spans="1:20" outlineLevel="1" x14ac:dyDescent="0.25">
      <c r="A91" s="4" t="s">
        <v>537</v>
      </c>
      <c r="B91" s="75" t="s">
        <v>19</v>
      </c>
      <c r="C91" s="25"/>
      <c r="D91" s="92">
        <v>1</v>
      </c>
      <c r="E91" s="110">
        <v>100</v>
      </c>
      <c r="F91" s="93">
        <f t="shared" si="30"/>
        <v>100</v>
      </c>
      <c r="G91" s="74">
        <f t="shared" si="25"/>
        <v>0</v>
      </c>
      <c r="H91" s="95">
        <f t="shared" si="15"/>
        <v>100</v>
      </c>
      <c r="I91" s="112">
        <v>100</v>
      </c>
      <c r="J91" s="57"/>
      <c r="K91" s="57"/>
      <c r="L91" s="57"/>
      <c r="M91" s="57"/>
      <c r="N91" s="57"/>
      <c r="O91" s="57"/>
      <c r="P91" s="68"/>
      <c r="Q91" s="58"/>
      <c r="R91" s="76"/>
      <c r="S91" s="76"/>
      <c r="T91" s="128"/>
    </row>
    <row r="92" spans="1:20" s="3" customFormat="1" ht="15.75" x14ac:dyDescent="0.25">
      <c r="A92" s="7" t="s">
        <v>123</v>
      </c>
      <c r="B92" s="13" t="s">
        <v>697</v>
      </c>
      <c r="C92" s="23"/>
      <c r="D92" s="24"/>
      <c r="E92" s="17"/>
      <c r="F92" s="82">
        <f>SUM(F93:F98)</f>
        <v>4900</v>
      </c>
      <c r="G92" s="89">
        <f t="shared" si="25"/>
        <v>0</v>
      </c>
      <c r="H92" s="18">
        <f t="shared" si="15"/>
        <v>4900</v>
      </c>
      <c r="I92" s="54">
        <f>SUM(I93:I98)</f>
        <v>3050</v>
      </c>
      <c r="J92" s="55">
        <f t="shared" ref="J92:Q92" si="31">SUM(J93:J98)</f>
        <v>0</v>
      </c>
      <c r="K92" s="55">
        <f t="shared" si="31"/>
        <v>0</v>
      </c>
      <c r="L92" s="55">
        <f t="shared" si="31"/>
        <v>1350</v>
      </c>
      <c r="M92" s="55">
        <f t="shared" si="31"/>
        <v>0</v>
      </c>
      <c r="N92" s="55">
        <f t="shared" si="31"/>
        <v>0</v>
      </c>
      <c r="O92" s="55">
        <f t="shared" si="31"/>
        <v>0</v>
      </c>
      <c r="P92" s="55">
        <f t="shared" si="31"/>
        <v>0</v>
      </c>
      <c r="Q92" s="56">
        <f t="shared" si="31"/>
        <v>500</v>
      </c>
      <c r="R92" s="33">
        <v>5000</v>
      </c>
      <c r="S92" s="33">
        <f>3360+843.97</f>
        <v>4203.97</v>
      </c>
      <c r="T92" s="127">
        <f>S92*100/R92</f>
        <v>84.079400000000007</v>
      </c>
    </row>
    <row r="93" spans="1:20" outlineLevel="1" x14ac:dyDescent="0.25">
      <c r="A93" s="4" t="s">
        <v>124</v>
      </c>
      <c r="B93" s="75" t="s">
        <v>21</v>
      </c>
      <c r="C93" s="25"/>
      <c r="D93" s="92">
        <v>1</v>
      </c>
      <c r="E93" s="110">
        <v>3300</v>
      </c>
      <c r="F93" s="93">
        <f t="shared" ref="F93:F98" si="32">D93*E93</f>
        <v>3300</v>
      </c>
      <c r="G93" s="74">
        <f t="shared" si="25"/>
        <v>0</v>
      </c>
      <c r="H93" s="95">
        <f t="shared" si="15"/>
        <v>3300</v>
      </c>
      <c r="I93" s="112">
        <v>1950</v>
      </c>
      <c r="J93" s="57"/>
      <c r="K93" s="57"/>
      <c r="L93" s="57">
        <v>1350</v>
      </c>
      <c r="M93" s="57"/>
      <c r="N93" s="57"/>
      <c r="O93" s="57"/>
      <c r="P93" s="68"/>
      <c r="Q93" s="58"/>
      <c r="R93" s="76"/>
      <c r="S93" s="76"/>
      <c r="T93" s="128"/>
    </row>
    <row r="94" spans="1:20" outlineLevel="1" x14ac:dyDescent="0.25">
      <c r="A94" s="4" t="s">
        <v>125</v>
      </c>
      <c r="B94" s="75" t="s">
        <v>22</v>
      </c>
      <c r="C94" s="25" t="s">
        <v>857</v>
      </c>
      <c r="D94" s="92">
        <v>0</v>
      </c>
      <c r="E94" s="110">
        <v>0</v>
      </c>
      <c r="F94" s="93">
        <f t="shared" si="32"/>
        <v>0</v>
      </c>
      <c r="G94" s="74">
        <f t="shared" si="25"/>
        <v>0</v>
      </c>
      <c r="H94" s="95">
        <f t="shared" si="15"/>
        <v>0</v>
      </c>
      <c r="I94" s="112"/>
      <c r="J94" s="57"/>
      <c r="K94" s="57"/>
      <c r="L94" s="57"/>
      <c r="M94" s="57"/>
      <c r="N94" s="57"/>
      <c r="O94" s="57"/>
      <c r="P94" s="68"/>
      <c r="Q94" s="58"/>
      <c r="R94" s="76"/>
      <c r="S94" s="76"/>
      <c r="T94" s="128"/>
    </row>
    <row r="95" spans="1:20" outlineLevel="1" x14ac:dyDescent="0.25">
      <c r="A95" s="4" t="s">
        <v>126</v>
      </c>
      <c r="B95" s="75" t="s">
        <v>23</v>
      </c>
      <c r="C95" s="25"/>
      <c r="D95" s="92">
        <v>1</v>
      </c>
      <c r="E95" s="110">
        <v>500</v>
      </c>
      <c r="F95" s="93">
        <f t="shared" si="32"/>
        <v>500</v>
      </c>
      <c r="G95" s="74">
        <f t="shared" si="25"/>
        <v>0</v>
      </c>
      <c r="H95" s="95">
        <f t="shared" si="15"/>
        <v>500</v>
      </c>
      <c r="I95" s="112">
        <v>0</v>
      </c>
      <c r="J95" s="57"/>
      <c r="K95" s="57"/>
      <c r="L95" s="57"/>
      <c r="M95" s="57"/>
      <c r="N95" s="57"/>
      <c r="O95" s="57"/>
      <c r="P95" s="68"/>
      <c r="Q95" s="58">
        <v>500</v>
      </c>
      <c r="R95" s="76"/>
      <c r="S95" s="76"/>
      <c r="T95" s="128"/>
    </row>
    <row r="96" spans="1:20" outlineLevel="1" x14ac:dyDescent="0.25">
      <c r="A96" s="4" t="s">
        <v>127</v>
      </c>
      <c r="B96" s="75" t="s">
        <v>24</v>
      </c>
      <c r="C96" s="25"/>
      <c r="D96" s="92">
        <v>1</v>
      </c>
      <c r="E96" s="110">
        <v>500</v>
      </c>
      <c r="F96" s="93">
        <f t="shared" si="32"/>
        <v>500</v>
      </c>
      <c r="G96" s="74">
        <f t="shared" si="25"/>
        <v>0</v>
      </c>
      <c r="H96" s="95">
        <f t="shared" si="15"/>
        <v>500</v>
      </c>
      <c r="I96" s="112">
        <v>500</v>
      </c>
      <c r="J96" s="57"/>
      <c r="K96" s="57"/>
      <c r="L96" s="57"/>
      <c r="M96" s="57"/>
      <c r="N96" s="57"/>
      <c r="O96" s="57"/>
      <c r="P96" s="68"/>
      <c r="Q96" s="58"/>
      <c r="R96" s="76"/>
      <c r="S96" s="76"/>
      <c r="T96" s="128"/>
    </row>
    <row r="97" spans="1:20" outlineLevel="1" x14ac:dyDescent="0.25">
      <c r="A97" s="4" t="s">
        <v>128</v>
      </c>
      <c r="B97" s="75" t="s">
        <v>25</v>
      </c>
      <c r="C97" s="25"/>
      <c r="D97" s="92">
        <v>1</v>
      </c>
      <c r="E97" s="110">
        <v>500</v>
      </c>
      <c r="F97" s="93">
        <f t="shared" si="32"/>
        <v>500</v>
      </c>
      <c r="G97" s="74">
        <f t="shared" si="25"/>
        <v>0</v>
      </c>
      <c r="H97" s="95">
        <f t="shared" si="15"/>
        <v>500</v>
      </c>
      <c r="I97" s="112">
        <v>500</v>
      </c>
      <c r="J97" s="57"/>
      <c r="K97" s="57"/>
      <c r="L97" s="57"/>
      <c r="M97" s="57"/>
      <c r="N97" s="57"/>
      <c r="O97" s="57"/>
      <c r="P97" s="68"/>
      <c r="Q97" s="58"/>
      <c r="R97" s="76"/>
      <c r="S97" s="76"/>
      <c r="T97" s="128"/>
    </row>
    <row r="98" spans="1:20" outlineLevel="1" x14ac:dyDescent="0.25">
      <c r="A98" s="4" t="s">
        <v>538</v>
      </c>
      <c r="B98" s="75" t="s">
        <v>15</v>
      </c>
      <c r="C98" s="25"/>
      <c r="D98" s="92">
        <v>1</v>
      </c>
      <c r="E98" s="110">
        <v>100</v>
      </c>
      <c r="F98" s="93">
        <f t="shared" si="32"/>
        <v>100</v>
      </c>
      <c r="G98" s="74">
        <f t="shared" si="25"/>
        <v>0</v>
      </c>
      <c r="H98" s="95">
        <f t="shared" si="15"/>
        <v>100</v>
      </c>
      <c r="I98" s="112">
        <v>100</v>
      </c>
      <c r="J98" s="57"/>
      <c r="K98" s="57"/>
      <c r="L98" s="57"/>
      <c r="M98" s="57"/>
      <c r="N98" s="57"/>
      <c r="O98" s="57"/>
      <c r="P98" s="68"/>
      <c r="Q98" s="58"/>
      <c r="R98" s="76"/>
      <c r="S98" s="76"/>
      <c r="T98" s="128"/>
    </row>
    <row r="99" spans="1:20" s="3" customFormat="1" ht="15.75" x14ac:dyDescent="0.25">
      <c r="A99" s="7" t="s">
        <v>129</v>
      </c>
      <c r="B99" s="13" t="s">
        <v>698</v>
      </c>
      <c r="C99" s="23"/>
      <c r="D99" s="24"/>
      <c r="E99" s="17"/>
      <c r="F99" s="82">
        <f>SUM(F100:F103)</f>
        <v>1100</v>
      </c>
      <c r="G99" s="89">
        <f t="shared" si="25"/>
        <v>0</v>
      </c>
      <c r="H99" s="18">
        <f t="shared" si="15"/>
        <v>1100</v>
      </c>
      <c r="I99" s="54">
        <f t="shared" ref="I99:Q99" si="33">SUM(I100:I103)</f>
        <v>1100</v>
      </c>
      <c r="J99" s="55">
        <f t="shared" si="33"/>
        <v>0</v>
      </c>
      <c r="K99" s="55">
        <f t="shared" si="33"/>
        <v>0</v>
      </c>
      <c r="L99" s="55">
        <f t="shared" si="33"/>
        <v>0</v>
      </c>
      <c r="M99" s="55">
        <f t="shared" si="33"/>
        <v>0</v>
      </c>
      <c r="N99" s="55">
        <f t="shared" si="33"/>
        <v>0</v>
      </c>
      <c r="O99" s="55">
        <f t="shared" si="33"/>
        <v>0</v>
      </c>
      <c r="P99" s="55">
        <f t="shared" si="33"/>
        <v>0</v>
      </c>
      <c r="Q99" s="56">
        <f t="shared" si="33"/>
        <v>0</v>
      </c>
      <c r="R99" s="33">
        <v>1000</v>
      </c>
      <c r="S99" s="33">
        <v>755</v>
      </c>
      <c r="T99" s="127">
        <f>S99*100/R99</f>
        <v>75.5</v>
      </c>
    </row>
    <row r="100" spans="1:20" outlineLevel="1" x14ac:dyDescent="0.25">
      <c r="A100" s="4" t="s">
        <v>130</v>
      </c>
      <c r="B100" s="75" t="s">
        <v>27</v>
      </c>
      <c r="C100" s="25" t="s">
        <v>107</v>
      </c>
      <c r="D100" s="92">
        <v>0</v>
      </c>
      <c r="E100" s="110">
        <v>0</v>
      </c>
      <c r="F100" s="93">
        <f>D100*E100</f>
        <v>0</v>
      </c>
      <c r="G100" s="74">
        <f t="shared" si="25"/>
        <v>0</v>
      </c>
      <c r="H100" s="95">
        <f t="shared" si="15"/>
        <v>0</v>
      </c>
      <c r="I100" s="112"/>
      <c r="J100" s="57"/>
      <c r="K100" s="57"/>
      <c r="L100" s="57"/>
      <c r="M100" s="57"/>
      <c r="N100" s="57"/>
      <c r="O100" s="57"/>
      <c r="P100" s="68"/>
      <c r="Q100" s="58"/>
      <c r="R100" s="76"/>
      <c r="S100" s="76"/>
      <c r="T100" s="128"/>
    </row>
    <row r="101" spans="1:20" outlineLevel="1" x14ac:dyDescent="0.25">
      <c r="A101" s="6" t="s">
        <v>131</v>
      </c>
      <c r="B101" s="75" t="s">
        <v>108</v>
      </c>
      <c r="C101" s="25" t="s">
        <v>973</v>
      </c>
      <c r="D101" s="92">
        <v>1</v>
      </c>
      <c r="E101" s="110">
        <v>500</v>
      </c>
      <c r="F101" s="93">
        <f>D101*E101</f>
        <v>500</v>
      </c>
      <c r="G101" s="74">
        <f t="shared" si="25"/>
        <v>0</v>
      </c>
      <c r="H101" s="95">
        <f t="shared" si="15"/>
        <v>500</v>
      </c>
      <c r="I101" s="112">
        <v>500</v>
      </c>
      <c r="J101" s="57"/>
      <c r="K101" s="57"/>
      <c r="L101" s="57"/>
      <c r="M101" s="57"/>
      <c r="N101" s="57"/>
      <c r="O101" s="57"/>
      <c r="P101" s="68"/>
      <c r="Q101" s="58"/>
      <c r="R101" s="76"/>
      <c r="S101" s="76"/>
      <c r="T101" s="128"/>
    </row>
    <row r="102" spans="1:20" outlineLevel="1" x14ac:dyDescent="0.25">
      <c r="A102" s="4" t="s">
        <v>132</v>
      </c>
      <c r="B102" s="75" t="s">
        <v>109</v>
      </c>
      <c r="C102" s="25" t="s">
        <v>974</v>
      </c>
      <c r="D102" s="92">
        <v>1</v>
      </c>
      <c r="E102" s="110">
        <v>500</v>
      </c>
      <c r="F102" s="93">
        <f>D102*E102</f>
        <v>500</v>
      </c>
      <c r="G102" s="74">
        <f t="shared" si="25"/>
        <v>0</v>
      </c>
      <c r="H102" s="95">
        <f t="shared" si="15"/>
        <v>500</v>
      </c>
      <c r="I102" s="112">
        <v>500</v>
      </c>
      <c r="J102" s="57"/>
      <c r="K102" s="57"/>
      <c r="L102" s="57"/>
      <c r="M102" s="57"/>
      <c r="N102" s="57"/>
      <c r="O102" s="57"/>
      <c r="P102" s="68"/>
      <c r="Q102" s="58"/>
      <c r="R102" s="76"/>
      <c r="S102" s="76"/>
      <c r="T102" s="128"/>
    </row>
    <row r="103" spans="1:20" outlineLevel="1" x14ac:dyDescent="0.25">
      <c r="A103" s="4" t="s">
        <v>133</v>
      </c>
      <c r="B103" s="75" t="s">
        <v>28</v>
      </c>
      <c r="C103" s="25"/>
      <c r="D103" s="92">
        <v>1</v>
      </c>
      <c r="E103" s="110">
        <v>100</v>
      </c>
      <c r="F103" s="93">
        <f>D103*E103</f>
        <v>100</v>
      </c>
      <c r="G103" s="74">
        <f t="shared" si="25"/>
        <v>0</v>
      </c>
      <c r="H103" s="95">
        <f t="shared" si="15"/>
        <v>100</v>
      </c>
      <c r="I103" s="112">
        <v>100</v>
      </c>
      <c r="J103" s="57"/>
      <c r="K103" s="57"/>
      <c r="L103" s="57"/>
      <c r="M103" s="57"/>
      <c r="N103" s="57"/>
      <c r="O103" s="57"/>
      <c r="P103" s="68"/>
      <c r="Q103" s="58"/>
      <c r="R103" s="76"/>
      <c r="S103" s="76"/>
      <c r="T103" s="128"/>
    </row>
    <row r="104" spans="1:20" s="3" customFormat="1" ht="15.75" x14ac:dyDescent="0.25">
      <c r="A104" s="7" t="s">
        <v>539</v>
      </c>
      <c r="B104" s="13" t="s">
        <v>577</v>
      </c>
      <c r="C104" s="23"/>
      <c r="D104" s="24"/>
      <c r="E104" s="17"/>
      <c r="F104" s="82">
        <f>SUM(F105:F107)</f>
        <v>400</v>
      </c>
      <c r="G104" s="89">
        <f t="shared" si="25"/>
        <v>0</v>
      </c>
      <c r="H104" s="18">
        <f t="shared" si="15"/>
        <v>400</v>
      </c>
      <c r="I104" s="54">
        <f t="shared" ref="I104:Q104" si="34">SUM(I105:I107)</f>
        <v>400</v>
      </c>
      <c r="J104" s="55">
        <f t="shared" si="34"/>
        <v>0</v>
      </c>
      <c r="K104" s="55">
        <f t="shared" si="34"/>
        <v>0</v>
      </c>
      <c r="L104" s="55">
        <f t="shared" si="34"/>
        <v>0</v>
      </c>
      <c r="M104" s="55">
        <f t="shared" si="34"/>
        <v>0</v>
      </c>
      <c r="N104" s="55">
        <f t="shared" si="34"/>
        <v>0</v>
      </c>
      <c r="O104" s="55">
        <f t="shared" si="34"/>
        <v>0</v>
      </c>
      <c r="P104" s="55">
        <f t="shared" si="34"/>
        <v>0</v>
      </c>
      <c r="Q104" s="56">
        <f t="shared" si="34"/>
        <v>0</v>
      </c>
      <c r="R104" s="33">
        <v>400</v>
      </c>
      <c r="S104" s="33">
        <v>400</v>
      </c>
      <c r="T104" s="127">
        <f>S104*100/R104</f>
        <v>100</v>
      </c>
    </row>
    <row r="105" spans="1:20" outlineLevel="1" x14ac:dyDescent="0.25">
      <c r="A105" s="4" t="s">
        <v>540</v>
      </c>
      <c r="B105" s="75" t="s">
        <v>29</v>
      </c>
      <c r="C105" s="25"/>
      <c r="D105" s="92">
        <v>1</v>
      </c>
      <c r="E105" s="110">
        <v>400</v>
      </c>
      <c r="F105" s="93">
        <f>D105*E105</f>
        <v>400</v>
      </c>
      <c r="G105" s="74">
        <f t="shared" si="25"/>
        <v>0</v>
      </c>
      <c r="H105" s="95">
        <f t="shared" si="15"/>
        <v>400</v>
      </c>
      <c r="I105" s="112">
        <v>400</v>
      </c>
      <c r="J105" s="57"/>
      <c r="K105" s="57"/>
      <c r="L105" s="57"/>
      <c r="M105" s="57"/>
      <c r="N105" s="57"/>
      <c r="O105" s="57"/>
      <c r="P105" s="68"/>
      <c r="Q105" s="58"/>
      <c r="R105" s="76"/>
      <c r="S105" s="76"/>
      <c r="T105" s="128"/>
    </row>
    <row r="106" spans="1:20" outlineLevel="1" x14ac:dyDescent="0.25">
      <c r="A106" s="4" t="s">
        <v>541</v>
      </c>
      <c r="B106" s="75" t="s">
        <v>30</v>
      </c>
      <c r="C106" s="25" t="s">
        <v>975</v>
      </c>
      <c r="D106" s="92">
        <v>0</v>
      </c>
      <c r="E106" s="110">
        <v>0</v>
      </c>
      <c r="F106" s="93">
        <f>D106*E106</f>
        <v>0</v>
      </c>
      <c r="G106" s="74">
        <f t="shared" si="25"/>
        <v>0</v>
      </c>
      <c r="H106" s="95">
        <f t="shared" si="15"/>
        <v>0</v>
      </c>
      <c r="I106" s="112"/>
      <c r="J106" s="57"/>
      <c r="K106" s="57"/>
      <c r="L106" s="57"/>
      <c r="M106" s="57"/>
      <c r="N106" s="57"/>
      <c r="O106" s="57"/>
      <c r="P106" s="68"/>
      <c r="Q106" s="58"/>
      <c r="R106" s="76"/>
      <c r="S106" s="76"/>
      <c r="T106" s="128"/>
    </row>
    <row r="107" spans="1:20" outlineLevel="1" x14ac:dyDescent="0.25">
      <c r="A107" s="4" t="s">
        <v>542</v>
      </c>
      <c r="B107" s="75" t="s">
        <v>31</v>
      </c>
      <c r="C107" s="25"/>
      <c r="D107" s="92">
        <v>0</v>
      </c>
      <c r="E107" s="110">
        <v>0</v>
      </c>
      <c r="F107" s="93">
        <f>D107*E107</f>
        <v>0</v>
      </c>
      <c r="G107" s="74">
        <f t="shared" si="25"/>
        <v>0</v>
      </c>
      <c r="H107" s="95">
        <f t="shared" si="15"/>
        <v>0</v>
      </c>
      <c r="I107" s="112"/>
      <c r="J107" s="57"/>
      <c r="K107" s="57"/>
      <c r="L107" s="57"/>
      <c r="M107" s="57"/>
      <c r="N107" s="57"/>
      <c r="O107" s="57"/>
      <c r="P107" s="68"/>
      <c r="Q107" s="58"/>
      <c r="R107" s="76"/>
      <c r="S107" s="76"/>
      <c r="T107" s="128"/>
    </row>
    <row r="108" spans="1:20" s="3" customFormat="1" ht="15.75" x14ac:dyDescent="0.25">
      <c r="A108" s="7" t="s">
        <v>543</v>
      </c>
      <c r="B108" s="13" t="s">
        <v>578</v>
      </c>
      <c r="C108" s="23"/>
      <c r="D108" s="24"/>
      <c r="E108" s="17"/>
      <c r="F108" s="82">
        <f>SUM(F109:F111)</f>
        <v>1000</v>
      </c>
      <c r="G108" s="89">
        <f t="shared" si="25"/>
        <v>0</v>
      </c>
      <c r="H108" s="18">
        <f t="shared" si="15"/>
        <v>1000</v>
      </c>
      <c r="I108" s="54">
        <f t="shared" ref="I108:Q108" si="35">SUM(I109:I111)</f>
        <v>1000</v>
      </c>
      <c r="J108" s="55">
        <f t="shared" si="35"/>
        <v>0</v>
      </c>
      <c r="K108" s="55">
        <f t="shared" si="35"/>
        <v>0</v>
      </c>
      <c r="L108" s="55">
        <f t="shared" si="35"/>
        <v>0</v>
      </c>
      <c r="M108" s="55">
        <f t="shared" si="35"/>
        <v>0</v>
      </c>
      <c r="N108" s="55">
        <f t="shared" si="35"/>
        <v>0</v>
      </c>
      <c r="O108" s="55">
        <f t="shared" si="35"/>
        <v>0</v>
      </c>
      <c r="P108" s="55">
        <f t="shared" si="35"/>
        <v>0</v>
      </c>
      <c r="Q108" s="56">
        <f t="shared" si="35"/>
        <v>0</v>
      </c>
      <c r="R108" s="33">
        <v>1000</v>
      </c>
      <c r="S108" s="33">
        <v>998</v>
      </c>
      <c r="T108" s="127">
        <f>S108*100/R108</f>
        <v>99.8</v>
      </c>
    </row>
    <row r="109" spans="1:20" outlineLevel="1" x14ac:dyDescent="0.25">
      <c r="A109" s="4" t="s">
        <v>544</v>
      </c>
      <c r="B109" s="75" t="s">
        <v>32</v>
      </c>
      <c r="C109" s="25"/>
      <c r="D109" s="92">
        <v>1</v>
      </c>
      <c r="E109" s="110">
        <v>500</v>
      </c>
      <c r="F109" s="93">
        <f>D109*E109</f>
        <v>500</v>
      </c>
      <c r="G109" s="74">
        <f t="shared" si="25"/>
        <v>0</v>
      </c>
      <c r="H109" s="95">
        <f t="shared" si="15"/>
        <v>500</v>
      </c>
      <c r="I109" s="112">
        <v>500</v>
      </c>
      <c r="J109" s="57"/>
      <c r="K109" s="57"/>
      <c r="L109" s="57"/>
      <c r="M109" s="57"/>
      <c r="N109" s="57"/>
      <c r="O109" s="57"/>
      <c r="P109" s="68"/>
      <c r="Q109" s="58"/>
      <c r="R109" s="76"/>
      <c r="S109" s="76"/>
      <c r="T109" s="128"/>
    </row>
    <row r="110" spans="1:20" outlineLevel="1" x14ac:dyDescent="0.25">
      <c r="A110" s="4" t="s">
        <v>545</v>
      </c>
      <c r="B110" s="75" t="s">
        <v>33</v>
      </c>
      <c r="C110" s="25"/>
      <c r="D110" s="92">
        <v>1</v>
      </c>
      <c r="E110" s="110">
        <v>500</v>
      </c>
      <c r="F110" s="93">
        <f>D110*E110</f>
        <v>500</v>
      </c>
      <c r="G110" s="74">
        <f t="shared" si="25"/>
        <v>0</v>
      </c>
      <c r="H110" s="95">
        <f t="shared" si="15"/>
        <v>500</v>
      </c>
      <c r="I110" s="112">
        <v>500</v>
      </c>
      <c r="J110" s="57"/>
      <c r="K110" s="57"/>
      <c r="L110" s="57"/>
      <c r="M110" s="57"/>
      <c r="N110" s="57"/>
      <c r="O110" s="57"/>
      <c r="P110" s="68"/>
      <c r="Q110" s="58"/>
      <c r="R110" s="76"/>
      <c r="S110" s="76"/>
      <c r="T110" s="128"/>
    </row>
    <row r="111" spans="1:20" outlineLevel="1" x14ac:dyDescent="0.25">
      <c r="A111" s="4" t="s">
        <v>546</v>
      </c>
      <c r="B111" s="75" t="s">
        <v>34</v>
      </c>
      <c r="C111" s="25"/>
      <c r="D111" s="92">
        <v>0</v>
      </c>
      <c r="E111" s="110">
        <v>0</v>
      </c>
      <c r="F111" s="93">
        <f>D111*E111</f>
        <v>0</v>
      </c>
      <c r="G111" s="74">
        <f t="shared" si="25"/>
        <v>0</v>
      </c>
      <c r="H111" s="95">
        <f t="shared" si="15"/>
        <v>0</v>
      </c>
      <c r="I111" s="112"/>
      <c r="J111" s="57"/>
      <c r="K111" s="57"/>
      <c r="L111" s="57"/>
      <c r="M111" s="57"/>
      <c r="N111" s="57"/>
      <c r="O111" s="57"/>
      <c r="P111" s="68"/>
      <c r="Q111" s="58"/>
      <c r="R111" s="76"/>
      <c r="S111" s="76"/>
      <c r="T111" s="128"/>
    </row>
    <row r="112" spans="1:20" s="3" customFormat="1" ht="15.75" x14ac:dyDescent="0.25">
      <c r="A112" s="7" t="s">
        <v>547</v>
      </c>
      <c r="B112" s="13" t="s">
        <v>579</v>
      </c>
      <c r="C112" s="23"/>
      <c r="D112" s="24"/>
      <c r="E112" s="17"/>
      <c r="F112" s="82">
        <f>SUM(F113:F115)</f>
        <v>2600</v>
      </c>
      <c r="G112" s="89">
        <f t="shared" si="25"/>
        <v>0</v>
      </c>
      <c r="H112" s="18">
        <f t="shared" si="15"/>
        <v>2600</v>
      </c>
      <c r="I112" s="54">
        <f t="shared" ref="I112:Q112" si="36">SUM(I113:I115)</f>
        <v>600</v>
      </c>
      <c r="J112" s="55">
        <f t="shared" si="36"/>
        <v>0</v>
      </c>
      <c r="K112" s="55">
        <f t="shared" si="36"/>
        <v>0</v>
      </c>
      <c r="L112" s="55">
        <f t="shared" si="36"/>
        <v>2000</v>
      </c>
      <c r="M112" s="55">
        <f t="shared" si="36"/>
        <v>0</v>
      </c>
      <c r="N112" s="55">
        <f t="shared" si="36"/>
        <v>0</v>
      </c>
      <c r="O112" s="55">
        <f t="shared" si="36"/>
        <v>0</v>
      </c>
      <c r="P112" s="55">
        <f t="shared" si="36"/>
        <v>0</v>
      </c>
      <c r="Q112" s="56">
        <f t="shared" si="36"/>
        <v>0</v>
      </c>
      <c r="R112" s="33">
        <v>0</v>
      </c>
      <c r="S112" s="33">
        <f>SUM(S113:S115)</f>
        <v>0</v>
      </c>
      <c r="T112" s="127"/>
    </row>
    <row r="113" spans="1:20" outlineLevel="1" x14ac:dyDescent="0.25">
      <c r="A113" s="4" t="s">
        <v>548</v>
      </c>
      <c r="B113" s="75" t="s">
        <v>35</v>
      </c>
      <c r="C113" s="25"/>
      <c r="D113" s="92">
        <v>1</v>
      </c>
      <c r="E113" s="110">
        <v>2000</v>
      </c>
      <c r="F113" s="93">
        <f>D113*E113</f>
        <v>2000</v>
      </c>
      <c r="G113" s="74">
        <f t="shared" si="25"/>
        <v>0</v>
      </c>
      <c r="H113" s="95">
        <f t="shared" si="15"/>
        <v>2000</v>
      </c>
      <c r="I113" s="112">
        <v>0</v>
      </c>
      <c r="J113" s="57"/>
      <c r="K113" s="57"/>
      <c r="L113" s="57">
        <v>2000</v>
      </c>
      <c r="M113" s="57"/>
      <c r="N113" s="57"/>
      <c r="O113" s="57"/>
      <c r="P113" s="68"/>
      <c r="Q113" s="58"/>
      <c r="R113" s="76"/>
      <c r="S113" s="76"/>
      <c r="T113" s="128"/>
    </row>
    <row r="114" spans="1:20" outlineLevel="1" x14ac:dyDescent="0.25">
      <c r="A114" s="4" t="s">
        <v>549</v>
      </c>
      <c r="B114" s="75" t="s">
        <v>36</v>
      </c>
      <c r="C114" s="25"/>
      <c r="D114" s="92">
        <v>1</v>
      </c>
      <c r="E114" s="110">
        <v>500</v>
      </c>
      <c r="F114" s="93">
        <f>D114*E114</f>
        <v>500</v>
      </c>
      <c r="G114" s="74">
        <f t="shared" si="25"/>
        <v>0</v>
      </c>
      <c r="H114" s="95">
        <f t="shared" si="15"/>
        <v>500</v>
      </c>
      <c r="I114" s="112">
        <v>500</v>
      </c>
      <c r="J114" s="57"/>
      <c r="K114" s="57"/>
      <c r="L114" s="57"/>
      <c r="M114" s="57"/>
      <c r="N114" s="57"/>
      <c r="O114" s="57"/>
      <c r="P114" s="68"/>
      <c r="Q114" s="58"/>
      <c r="R114" s="76"/>
      <c r="S114" s="76"/>
      <c r="T114" s="128"/>
    </row>
    <row r="115" spans="1:20" outlineLevel="1" x14ac:dyDescent="0.25">
      <c r="A115" s="4" t="s">
        <v>550</v>
      </c>
      <c r="B115" s="75" t="s">
        <v>37</v>
      </c>
      <c r="C115" s="25"/>
      <c r="D115" s="92">
        <v>1</v>
      </c>
      <c r="E115" s="110">
        <v>100</v>
      </c>
      <c r="F115" s="93">
        <f>D115*E115</f>
        <v>100</v>
      </c>
      <c r="G115" s="74">
        <f t="shared" si="25"/>
        <v>0</v>
      </c>
      <c r="H115" s="95">
        <f t="shared" si="15"/>
        <v>100</v>
      </c>
      <c r="I115" s="112">
        <v>100</v>
      </c>
      <c r="J115" s="57"/>
      <c r="K115" s="57"/>
      <c r="L115" s="57"/>
      <c r="M115" s="57"/>
      <c r="N115" s="57"/>
      <c r="O115" s="57"/>
      <c r="P115" s="68"/>
      <c r="Q115" s="58"/>
      <c r="R115" s="76"/>
      <c r="S115" s="76"/>
      <c r="T115" s="128"/>
    </row>
    <row r="116" spans="1:20" s="3" customFormat="1" ht="15.75" x14ac:dyDescent="0.25">
      <c r="A116" s="7" t="s">
        <v>551</v>
      </c>
      <c r="B116" s="13" t="s">
        <v>580</v>
      </c>
      <c r="C116" s="23"/>
      <c r="D116" s="24"/>
      <c r="E116" s="17"/>
      <c r="F116" s="82">
        <f>SUM(F117:F119)</f>
        <v>1150</v>
      </c>
      <c r="G116" s="89">
        <f t="shared" si="25"/>
        <v>0</v>
      </c>
      <c r="H116" s="18">
        <f t="shared" si="15"/>
        <v>1150</v>
      </c>
      <c r="I116" s="54">
        <f t="shared" ref="I116:Q116" si="37">SUM(I117:I119)</f>
        <v>150</v>
      </c>
      <c r="J116" s="55">
        <f t="shared" si="37"/>
        <v>0</v>
      </c>
      <c r="K116" s="55">
        <f t="shared" si="37"/>
        <v>0</v>
      </c>
      <c r="L116" s="55">
        <f t="shared" si="37"/>
        <v>1000</v>
      </c>
      <c r="M116" s="55">
        <f t="shared" si="37"/>
        <v>0</v>
      </c>
      <c r="N116" s="55">
        <f t="shared" si="37"/>
        <v>0</v>
      </c>
      <c r="O116" s="55">
        <f t="shared" si="37"/>
        <v>0</v>
      </c>
      <c r="P116" s="55">
        <f t="shared" si="37"/>
        <v>0</v>
      </c>
      <c r="Q116" s="56">
        <f t="shared" si="37"/>
        <v>0</v>
      </c>
      <c r="R116" s="33">
        <v>1200</v>
      </c>
      <c r="S116" s="33">
        <v>1300</v>
      </c>
      <c r="T116" s="127">
        <f>S116*100/R116</f>
        <v>108.33333333333333</v>
      </c>
    </row>
    <row r="117" spans="1:20" outlineLevel="1" x14ac:dyDescent="0.25">
      <c r="A117" s="4" t="s">
        <v>552</v>
      </c>
      <c r="B117" s="75" t="s">
        <v>38</v>
      </c>
      <c r="C117" s="25"/>
      <c r="D117" s="92">
        <v>1</v>
      </c>
      <c r="E117" s="110">
        <v>650</v>
      </c>
      <c r="F117" s="93">
        <f>D117*E117</f>
        <v>650</v>
      </c>
      <c r="G117" s="74">
        <f t="shared" si="25"/>
        <v>0</v>
      </c>
      <c r="H117" s="95">
        <f t="shared" si="15"/>
        <v>650</v>
      </c>
      <c r="I117" s="112">
        <v>150</v>
      </c>
      <c r="J117" s="57"/>
      <c r="K117" s="57"/>
      <c r="L117" s="57">
        <v>500</v>
      </c>
      <c r="M117" s="57"/>
      <c r="N117" s="57"/>
      <c r="O117" s="57"/>
      <c r="P117" s="68"/>
      <c r="Q117" s="58"/>
      <c r="R117" s="76"/>
      <c r="S117" s="76"/>
      <c r="T117" s="128"/>
    </row>
    <row r="118" spans="1:20" outlineLevel="1" x14ac:dyDescent="0.25">
      <c r="A118" s="4" t="s">
        <v>553</v>
      </c>
      <c r="B118" s="75" t="s">
        <v>39</v>
      </c>
      <c r="C118" s="25"/>
      <c r="D118" s="92">
        <v>1</v>
      </c>
      <c r="E118" s="110">
        <v>500</v>
      </c>
      <c r="F118" s="93">
        <f>D118*E118</f>
        <v>500</v>
      </c>
      <c r="G118" s="74">
        <f t="shared" si="25"/>
        <v>0</v>
      </c>
      <c r="H118" s="95">
        <f t="shared" si="15"/>
        <v>500</v>
      </c>
      <c r="I118" s="112"/>
      <c r="J118" s="57"/>
      <c r="K118" s="57"/>
      <c r="L118" s="57">
        <v>500</v>
      </c>
      <c r="M118" s="57"/>
      <c r="N118" s="57"/>
      <c r="O118" s="57"/>
      <c r="P118" s="68"/>
      <c r="Q118" s="58"/>
      <c r="R118" s="76"/>
      <c r="S118" s="76"/>
      <c r="T118" s="128"/>
    </row>
    <row r="119" spans="1:20" outlineLevel="1" x14ac:dyDescent="0.25">
      <c r="A119" s="4" t="s">
        <v>554</v>
      </c>
      <c r="B119" s="75" t="s">
        <v>40</v>
      </c>
      <c r="C119" s="25"/>
      <c r="D119" s="92">
        <v>0</v>
      </c>
      <c r="E119" s="110">
        <v>0</v>
      </c>
      <c r="F119" s="93">
        <f>D119*E119</f>
        <v>0</v>
      </c>
      <c r="G119" s="74">
        <f t="shared" si="25"/>
        <v>0</v>
      </c>
      <c r="H119" s="95">
        <f t="shared" si="15"/>
        <v>0</v>
      </c>
      <c r="I119" s="112"/>
      <c r="J119" s="57"/>
      <c r="K119" s="57"/>
      <c r="L119" s="57"/>
      <c r="M119" s="57"/>
      <c r="N119" s="57"/>
      <c r="O119" s="57"/>
      <c r="P119" s="68"/>
      <c r="Q119" s="58"/>
      <c r="R119" s="76"/>
      <c r="S119" s="76"/>
      <c r="T119" s="128"/>
    </row>
    <row r="120" spans="1:20" s="3" customFormat="1" ht="15.75" x14ac:dyDescent="0.25">
      <c r="A120" s="7" t="s">
        <v>555</v>
      </c>
      <c r="B120" s="13" t="s">
        <v>648</v>
      </c>
      <c r="C120" s="23"/>
      <c r="D120" s="24"/>
      <c r="E120" s="17"/>
      <c r="F120" s="82">
        <f>SUM(F121:F123)</f>
        <v>100</v>
      </c>
      <c r="G120" s="89">
        <f t="shared" si="25"/>
        <v>0</v>
      </c>
      <c r="H120" s="18">
        <f t="shared" si="15"/>
        <v>100</v>
      </c>
      <c r="I120" s="54">
        <f t="shared" ref="I120:Q120" si="38">SUM(I121:I123)</f>
        <v>100</v>
      </c>
      <c r="J120" s="55">
        <f t="shared" si="38"/>
        <v>0</v>
      </c>
      <c r="K120" s="55">
        <f t="shared" si="38"/>
        <v>0</v>
      </c>
      <c r="L120" s="55">
        <f>SUM(L121:L123)</f>
        <v>0</v>
      </c>
      <c r="M120" s="55">
        <f>SUM(M121:M123)</f>
        <v>0</v>
      </c>
      <c r="N120" s="55">
        <f t="shared" si="38"/>
        <v>0</v>
      </c>
      <c r="O120" s="55">
        <f t="shared" si="38"/>
        <v>0</v>
      </c>
      <c r="P120" s="55">
        <f t="shared" si="38"/>
        <v>0</v>
      </c>
      <c r="Q120" s="56">
        <f t="shared" si="38"/>
        <v>0</v>
      </c>
      <c r="R120" s="33">
        <v>0</v>
      </c>
      <c r="S120" s="33">
        <f>SUM(S121:S123)</f>
        <v>0</v>
      </c>
      <c r="T120" s="127"/>
    </row>
    <row r="121" spans="1:20" outlineLevel="1" x14ac:dyDescent="0.25">
      <c r="A121" s="4" t="s">
        <v>556</v>
      </c>
      <c r="B121" s="75" t="s">
        <v>41</v>
      </c>
      <c r="C121" s="25" t="s">
        <v>107</v>
      </c>
      <c r="D121" s="92">
        <v>0</v>
      </c>
      <c r="E121" s="110">
        <v>0</v>
      </c>
      <c r="F121" s="93">
        <f>D121*E121</f>
        <v>0</v>
      </c>
      <c r="G121" s="74">
        <f t="shared" si="25"/>
        <v>0</v>
      </c>
      <c r="H121" s="95">
        <f t="shared" si="15"/>
        <v>0</v>
      </c>
      <c r="I121" s="112"/>
      <c r="J121" s="57"/>
      <c r="K121" s="57"/>
      <c r="L121" s="57"/>
      <c r="M121" s="57"/>
      <c r="N121" s="57"/>
      <c r="O121" s="57"/>
      <c r="P121" s="68"/>
      <c r="Q121" s="58"/>
      <c r="R121" s="76"/>
      <c r="S121" s="76"/>
      <c r="T121" s="128"/>
    </row>
    <row r="122" spans="1:20" outlineLevel="1" x14ac:dyDescent="0.25">
      <c r="A122" s="4" t="s">
        <v>557</v>
      </c>
      <c r="B122" s="75" t="s">
        <v>42</v>
      </c>
      <c r="C122" s="25" t="s">
        <v>110</v>
      </c>
      <c r="D122" s="92">
        <v>0</v>
      </c>
      <c r="E122" s="110">
        <v>0</v>
      </c>
      <c r="F122" s="93">
        <f>D122*E122</f>
        <v>0</v>
      </c>
      <c r="G122" s="74">
        <f t="shared" si="25"/>
        <v>0</v>
      </c>
      <c r="H122" s="95">
        <f t="shared" si="15"/>
        <v>0</v>
      </c>
      <c r="I122" s="112"/>
      <c r="J122" s="57"/>
      <c r="K122" s="57"/>
      <c r="L122" s="57"/>
      <c r="M122" s="57"/>
      <c r="N122" s="57"/>
      <c r="O122" s="57"/>
      <c r="P122" s="68"/>
      <c r="Q122" s="58"/>
      <c r="R122" s="76"/>
      <c r="S122" s="76"/>
      <c r="T122" s="128"/>
    </row>
    <row r="123" spans="1:20" outlineLevel="1" x14ac:dyDescent="0.25">
      <c r="A123" s="4" t="s">
        <v>558</v>
      </c>
      <c r="B123" s="75" t="s">
        <v>43</v>
      </c>
      <c r="C123" s="25"/>
      <c r="D123" s="92">
        <v>1</v>
      </c>
      <c r="E123" s="110">
        <v>100</v>
      </c>
      <c r="F123" s="93">
        <f>D123*E123</f>
        <v>100</v>
      </c>
      <c r="G123" s="74">
        <f t="shared" si="25"/>
        <v>0</v>
      </c>
      <c r="H123" s="95">
        <f t="shared" si="15"/>
        <v>100</v>
      </c>
      <c r="I123" s="112">
        <v>100</v>
      </c>
      <c r="J123" s="57"/>
      <c r="K123" s="57"/>
      <c r="L123" s="57"/>
      <c r="M123" s="57"/>
      <c r="N123" s="57"/>
      <c r="O123" s="57"/>
      <c r="P123" s="68"/>
      <c r="Q123" s="58"/>
      <c r="R123" s="76"/>
      <c r="S123" s="76"/>
      <c r="T123" s="128"/>
    </row>
    <row r="124" spans="1:20" s="3" customFormat="1" ht="15.75" x14ac:dyDescent="0.25">
      <c r="A124" s="7" t="s">
        <v>559</v>
      </c>
      <c r="B124" s="13" t="s">
        <v>111</v>
      </c>
      <c r="C124" s="23"/>
      <c r="D124" s="24"/>
      <c r="E124" s="17"/>
      <c r="F124" s="82">
        <f>SUM(F125:F127)</f>
        <v>700</v>
      </c>
      <c r="G124" s="89">
        <f t="shared" si="25"/>
        <v>0</v>
      </c>
      <c r="H124" s="18">
        <f t="shared" si="15"/>
        <v>700</v>
      </c>
      <c r="I124" s="54">
        <f t="shared" ref="I124:Q124" si="39">SUM(I125:I127)</f>
        <v>0</v>
      </c>
      <c r="J124" s="55">
        <f t="shared" si="39"/>
        <v>0</v>
      </c>
      <c r="K124" s="55">
        <f t="shared" si="39"/>
        <v>0</v>
      </c>
      <c r="L124" s="55">
        <f t="shared" si="39"/>
        <v>0</v>
      </c>
      <c r="M124" s="55">
        <f t="shared" si="39"/>
        <v>0</v>
      </c>
      <c r="N124" s="55">
        <f t="shared" si="39"/>
        <v>0</v>
      </c>
      <c r="O124" s="55">
        <f t="shared" si="39"/>
        <v>0</v>
      </c>
      <c r="P124" s="55">
        <f t="shared" si="39"/>
        <v>0</v>
      </c>
      <c r="Q124" s="56">
        <f t="shared" si="39"/>
        <v>700</v>
      </c>
      <c r="R124" s="33">
        <v>500</v>
      </c>
      <c r="S124" s="33">
        <f>860-225</f>
        <v>635</v>
      </c>
      <c r="T124" s="127">
        <f>S124*100/R124</f>
        <v>127</v>
      </c>
    </row>
    <row r="125" spans="1:20" outlineLevel="1" x14ac:dyDescent="0.25">
      <c r="A125" s="4" t="s">
        <v>560</v>
      </c>
      <c r="B125" s="75" t="s">
        <v>112</v>
      </c>
      <c r="C125" s="25" t="s">
        <v>107</v>
      </c>
      <c r="D125" s="92">
        <v>0</v>
      </c>
      <c r="E125" s="110">
        <v>0</v>
      </c>
      <c r="F125" s="93">
        <f>D125*E125</f>
        <v>0</v>
      </c>
      <c r="G125" s="74">
        <f t="shared" si="25"/>
        <v>0</v>
      </c>
      <c r="H125" s="95">
        <f t="shared" si="15"/>
        <v>0</v>
      </c>
      <c r="I125" s="112">
        <v>0</v>
      </c>
      <c r="J125" s="57"/>
      <c r="K125" s="57"/>
      <c r="L125" s="57"/>
      <c r="M125" s="57"/>
      <c r="N125" s="57"/>
      <c r="O125" s="57"/>
      <c r="P125" s="68"/>
      <c r="Q125" s="58"/>
      <c r="R125" s="76"/>
      <c r="S125" s="76"/>
      <c r="T125" s="128"/>
    </row>
    <row r="126" spans="1:20" outlineLevel="1" x14ac:dyDescent="0.25">
      <c r="A126" s="4" t="s">
        <v>561</v>
      </c>
      <c r="B126" s="75" t="s">
        <v>113</v>
      </c>
      <c r="C126" s="25" t="s">
        <v>115</v>
      </c>
      <c r="D126" s="92">
        <v>1</v>
      </c>
      <c r="E126" s="110">
        <v>700</v>
      </c>
      <c r="F126" s="93">
        <f>D126*E126</f>
        <v>700</v>
      </c>
      <c r="G126" s="74">
        <f t="shared" si="25"/>
        <v>0</v>
      </c>
      <c r="H126" s="95">
        <f t="shared" si="15"/>
        <v>700</v>
      </c>
      <c r="I126" s="112">
        <v>0</v>
      </c>
      <c r="J126" s="57"/>
      <c r="K126" s="57"/>
      <c r="L126" s="57"/>
      <c r="M126" s="57"/>
      <c r="N126" s="57"/>
      <c r="O126" s="57"/>
      <c r="P126" s="68"/>
      <c r="Q126" s="58">
        <f>F126</f>
        <v>700</v>
      </c>
      <c r="R126" s="76"/>
      <c r="S126" s="76"/>
      <c r="T126" s="128"/>
    </row>
    <row r="127" spans="1:20" outlineLevel="1" x14ac:dyDescent="0.25">
      <c r="A127" s="4" t="s">
        <v>562</v>
      </c>
      <c r="B127" s="75" t="s">
        <v>114</v>
      </c>
      <c r="C127" s="25"/>
      <c r="D127" s="92">
        <v>0</v>
      </c>
      <c r="E127" s="110">
        <v>0</v>
      </c>
      <c r="F127" s="93">
        <f>D127*E127</f>
        <v>0</v>
      </c>
      <c r="G127" s="74">
        <f t="shared" si="25"/>
        <v>0</v>
      </c>
      <c r="H127" s="95">
        <f t="shared" si="15"/>
        <v>0</v>
      </c>
      <c r="I127" s="112">
        <v>0</v>
      </c>
      <c r="J127" s="57"/>
      <c r="K127" s="57"/>
      <c r="L127" s="57"/>
      <c r="M127" s="57"/>
      <c r="N127" s="57"/>
      <c r="O127" s="57"/>
      <c r="P127" s="68"/>
      <c r="Q127" s="58">
        <f>F127</f>
        <v>0</v>
      </c>
      <c r="R127" s="76"/>
      <c r="S127" s="76"/>
      <c r="T127" s="128"/>
    </row>
    <row r="128" spans="1:20" s="3" customFormat="1" ht="15.75" x14ac:dyDescent="0.25">
      <c r="A128" s="7" t="s">
        <v>559</v>
      </c>
      <c r="B128" s="13" t="s">
        <v>48</v>
      </c>
      <c r="C128" s="23"/>
      <c r="D128" s="24"/>
      <c r="E128" s="17"/>
      <c r="F128" s="82">
        <f>SUM(F129:F138)</f>
        <v>1750</v>
      </c>
      <c r="G128" s="89">
        <f t="shared" si="25"/>
        <v>0</v>
      </c>
      <c r="H128" s="18">
        <f t="shared" si="15"/>
        <v>1750</v>
      </c>
      <c r="I128" s="54">
        <f t="shared" ref="I128:Q128" si="40">SUM(I129:I138)</f>
        <v>1750</v>
      </c>
      <c r="J128" s="55">
        <f t="shared" si="40"/>
        <v>0</v>
      </c>
      <c r="K128" s="55">
        <f t="shared" si="40"/>
        <v>0</v>
      </c>
      <c r="L128" s="55">
        <f t="shared" si="40"/>
        <v>0</v>
      </c>
      <c r="M128" s="55">
        <f t="shared" si="40"/>
        <v>0</v>
      </c>
      <c r="N128" s="55">
        <f t="shared" si="40"/>
        <v>0</v>
      </c>
      <c r="O128" s="55">
        <f t="shared" si="40"/>
        <v>0</v>
      </c>
      <c r="P128" s="55">
        <f t="shared" si="40"/>
        <v>0</v>
      </c>
      <c r="Q128" s="56">
        <f t="shared" si="40"/>
        <v>0</v>
      </c>
      <c r="R128" s="33">
        <v>750</v>
      </c>
      <c r="S128" s="33">
        <v>800</v>
      </c>
      <c r="T128" s="127">
        <f>S128*100/R128</f>
        <v>106.66666666666667</v>
      </c>
    </row>
    <row r="129" spans="1:20" outlineLevel="1" x14ac:dyDescent="0.25">
      <c r="A129" s="4" t="s">
        <v>560</v>
      </c>
      <c r="B129" s="75" t="s">
        <v>49</v>
      </c>
      <c r="C129" s="25" t="s">
        <v>976</v>
      </c>
      <c r="D129" s="92">
        <v>1</v>
      </c>
      <c r="E129" s="110">
        <v>400</v>
      </c>
      <c r="F129" s="93">
        <f t="shared" ref="F129:F138" si="41">D129*E129</f>
        <v>400</v>
      </c>
      <c r="G129" s="74">
        <f t="shared" si="25"/>
        <v>0</v>
      </c>
      <c r="H129" s="95">
        <f t="shared" si="15"/>
        <v>400</v>
      </c>
      <c r="I129" s="112">
        <f>F129</f>
        <v>400</v>
      </c>
      <c r="J129" s="57"/>
      <c r="K129" s="57"/>
      <c r="L129" s="57"/>
      <c r="M129" s="57"/>
      <c r="N129" s="57"/>
      <c r="O129" s="57"/>
      <c r="P129" s="68"/>
      <c r="Q129" s="58"/>
      <c r="R129" s="76"/>
      <c r="S129" s="76"/>
      <c r="T129" s="128"/>
    </row>
    <row r="130" spans="1:20" outlineLevel="1" x14ac:dyDescent="0.25">
      <c r="A130" s="4" t="s">
        <v>561</v>
      </c>
      <c r="B130" s="75" t="s">
        <v>55</v>
      </c>
      <c r="C130" s="25"/>
      <c r="D130" s="92">
        <v>1</v>
      </c>
      <c r="E130" s="110">
        <v>150</v>
      </c>
      <c r="F130" s="93">
        <f t="shared" si="41"/>
        <v>150</v>
      </c>
      <c r="G130" s="74">
        <f t="shared" si="25"/>
        <v>0</v>
      </c>
      <c r="H130" s="95">
        <f t="shared" ref="H130:H188" si="42">SUM(I130:Q130)</f>
        <v>150</v>
      </c>
      <c r="I130" s="112">
        <f t="shared" ref="I130:I138" si="43">F130</f>
        <v>150</v>
      </c>
      <c r="J130" s="57"/>
      <c r="K130" s="57"/>
      <c r="L130" s="57"/>
      <c r="M130" s="57"/>
      <c r="N130" s="57"/>
      <c r="O130" s="57"/>
      <c r="P130" s="68"/>
      <c r="Q130" s="58"/>
      <c r="R130" s="76"/>
      <c r="S130" s="76"/>
      <c r="T130" s="128"/>
    </row>
    <row r="131" spans="1:20" outlineLevel="1" x14ac:dyDescent="0.25">
      <c r="A131" s="4" t="s">
        <v>562</v>
      </c>
      <c r="B131" s="75" t="s">
        <v>581</v>
      </c>
      <c r="C131" s="25"/>
      <c r="D131" s="92">
        <v>1</v>
      </c>
      <c r="E131" s="110">
        <v>150</v>
      </c>
      <c r="F131" s="93">
        <f t="shared" si="41"/>
        <v>150</v>
      </c>
      <c r="G131" s="74">
        <f t="shared" si="25"/>
        <v>0</v>
      </c>
      <c r="H131" s="95">
        <f t="shared" si="42"/>
        <v>150</v>
      </c>
      <c r="I131" s="112">
        <f t="shared" si="43"/>
        <v>150</v>
      </c>
      <c r="J131" s="57"/>
      <c r="K131" s="57"/>
      <c r="L131" s="57"/>
      <c r="M131" s="57"/>
      <c r="N131" s="57"/>
      <c r="O131" s="57"/>
      <c r="P131" s="68"/>
      <c r="Q131" s="58"/>
      <c r="R131" s="76"/>
      <c r="S131" s="76"/>
      <c r="T131" s="128"/>
    </row>
    <row r="132" spans="1:20" outlineLevel="1" x14ac:dyDescent="0.25">
      <c r="A132" s="4" t="s">
        <v>563</v>
      </c>
      <c r="B132" s="75" t="s">
        <v>582</v>
      </c>
      <c r="C132" s="25"/>
      <c r="D132" s="92">
        <v>1</v>
      </c>
      <c r="E132" s="110">
        <v>150</v>
      </c>
      <c r="F132" s="93">
        <f t="shared" si="41"/>
        <v>150</v>
      </c>
      <c r="G132" s="74">
        <f t="shared" si="25"/>
        <v>0</v>
      </c>
      <c r="H132" s="95">
        <f t="shared" si="42"/>
        <v>150</v>
      </c>
      <c r="I132" s="112">
        <f t="shared" si="43"/>
        <v>150</v>
      </c>
      <c r="J132" s="57"/>
      <c r="K132" s="57"/>
      <c r="L132" s="57"/>
      <c r="M132" s="57"/>
      <c r="N132" s="57"/>
      <c r="O132" s="57"/>
      <c r="P132" s="68"/>
      <c r="Q132" s="58"/>
      <c r="R132" s="76"/>
      <c r="S132" s="76"/>
      <c r="T132" s="128"/>
    </row>
    <row r="133" spans="1:20" outlineLevel="1" x14ac:dyDescent="0.25">
      <c r="A133" s="4" t="s">
        <v>564</v>
      </c>
      <c r="B133" s="75" t="s">
        <v>50</v>
      </c>
      <c r="C133" s="25"/>
      <c r="D133" s="92">
        <v>1</v>
      </c>
      <c r="E133" s="110">
        <v>150</v>
      </c>
      <c r="F133" s="93">
        <f t="shared" si="41"/>
        <v>150</v>
      </c>
      <c r="G133" s="74">
        <f t="shared" si="25"/>
        <v>0</v>
      </c>
      <c r="H133" s="95">
        <f t="shared" si="42"/>
        <v>150</v>
      </c>
      <c r="I133" s="112">
        <f t="shared" si="43"/>
        <v>150</v>
      </c>
      <c r="J133" s="57"/>
      <c r="K133" s="57"/>
      <c r="L133" s="57"/>
      <c r="M133" s="57"/>
      <c r="N133" s="57"/>
      <c r="O133" s="57"/>
      <c r="P133" s="68"/>
      <c r="Q133" s="58"/>
      <c r="R133" s="76"/>
      <c r="S133" s="76"/>
      <c r="T133" s="128"/>
    </row>
    <row r="134" spans="1:20" outlineLevel="1" x14ac:dyDescent="0.25">
      <c r="A134" s="4" t="s">
        <v>565</v>
      </c>
      <c r="B134" s="75" t="s">
        <v>51</v>
      </c>
      <c r="C134" s="25"/>
      <c r="D134" s="92">
        <v>1</v>
      </c>
      <c r="E134" s="110">
        <v>150</v>
      </c>
      <c r="F134" s="93">
        <f t="shared" si="41"/>
        <v>150</v>
      </c>
      <c r="G134" s="74">
        <f t="shared" si="25"/>
        <v>0</v>
      </c>
      <c r="H134" s="95">
        <f t="shared" si="42"/>
        <v>150</v>
      </c>
      <c r="I134" s="112">
        <f t="shared" si="43"/>
        <v>150</v>
      </c>
      <c r="J134" s="57"/>
      <c r="K134" s="57"/>
      <c r="L134" s="57"/>
      <c r="M134" s="57"/>
      <c r="N134" s="57"/>
      <c r="O134" s="57"/>
      <c r="P134" s="68"/>
      <c r="Q134" s="58"/>
      <c r="R134" s="76"/>
      <c r="S134" s="76"/>
      <c r="T134" s="128"/>
    </row>
    <row r="135" spans="1:20" outlineLevel="1" x14ac:dyDescent="0.25">
      <c r="A135" s="4" t="s">
        <v>566</v>
      </c>
      <c r="B135" s="75" t="s">
        <v>52</v>
      </c>
      <c r="C135" s="25"/>
      <c r="D135" s="92">
        <v>1</v>
      </c>
      <c r="E135" s="110">
        <v>150</v>
      </c>
      <c r="F135" s="93">
        <f t="shared" si="41"/>
        <v>150</v>
      </c>
      <c r="G135" s="74">
        <f t="shared" si="25"/>
        <v>0</v>
      </c>
      <c r="H135" s="95">
        <f t="shared" si="42"/>
        <v>150</v>
      </c>
      <c r="I135" s="112">
        <f t="shared" si="43"/>
        <v>150</v>
      </c>
      <c r="J135" s="57"/>
      <c r="K135" s="57"/>
      <c r="L135" s="57"/>
      <c r="M135" s="57"/>
      <c r="N135" s="57"/>
      <c r="O135" s="57"/>
      <c r="P135" s="68"/>
      <c r="Q135" s="58"/>
      <c r="R135" s="76"/>
      <c r="S135" s="76"/>
      <c r="T135" s="128"/>
    </row>
    <row r="136" spans="1:20" outlineLevel="1" x14ac:dyDescent="0.25">
      <c r="A136" s="4" t="s">
        <v>567</v>
      </c>
      <c r="B136" s="75" t="s">
        <v>53</v>
      </c>
      <c r="C136" s="25"/>
      <c r="D136" s="92">
        <v>1</v>
      </c>
      <c r="E136" s="110">
        <v>150</v>
      </c>
      <c r="F136" s="93">
        <f t="shared" si="41"/>
        <v>150</v>
      </c>
      <c r="G136" s="74">
        <f t="shared" si="25"/>
        <v>0</v>
      </c>
      <c r="H136" s="95">
        <f t="shared" si="42"/>
        <v>150</v>
      </c>
      <c r="I136" s="112">
        <f t="shared" si="43"/>
        <v>150</v>
      </c>
      <c r="J136" s="57"/>
      <c r="K136" s="57"/>
      <c r="L136" s="57"/>
      <c r="M136" s="57"/>
      <c r="N136" s="57"/>
      <c r="O136" s="57"/>
      <c r="P136" s="68"/>
      <c r="Q136" s="58"/>
      <c r="R136" s="76"/>
      <c r="S136" s="76"/>
      <c r="T136" s="128"/>
    </row>
    <row r="137" spans="1:20" outlineLevel="1" x14ac:dyDescent="0.25">
      <c r="A137" s="4" t="s">
        <v>583</v>
      </c>
      <c r="B137" s="75" t="s">
        <v>54</v>
      </c>
      <c r="C137" s="25"/>
      <c r="D137" s="92">
        <v>1</v>
      </c>
      <c r="E137" s="110">
        <v>150</v>
      </c>
      <c r="F137" s="93">
        <f t="shared" si="41"/>
        <v>150</v>
      </c>
      <c r="G137" s="74">
        <f t="shared" si="25"/>
        <v>0</v>
      </c>
      <c r="H137" s="95">
        <f t="shared" si="42"/>
        <v>150</v>
      </c>
      <c r="I137" s="112">
        <f t="shared" si="43"/>
        <v>150</v>
      </c>
      <c r="J137" s="57"/>
      <c r="K137" s="57"/>
      <c r="L137" s="57"/>
      <c r="M137" s="57"/>
      <c r="N137" s="57"/>
      <c r="O137" s="57"/>
      <c r="P137" s="68"/>
      <c r="Q137" s="58"/>
      <c r="R137" s="76"/>
      <c r="S137" s="76"/>
      <c r="T137" s="128"/>
    </row>
    <row r="138" spans="1:20" outlineLevel="1" x14ac:dyDescent="0.25">
      <c r="A138" s="4" t="s">
        <v>584</v>
      </c>
      <c r="B138" s="75" t="s">
        <v>86</v>
      </c>
      <c r="C138" s="25"/>
      <c r="D138" s="92">
        <v>1</v>
      </c>
      <c r="E138" s="110">
        <v>150</v>
      </c>
      <c r="F138" s="93">
        <f t="shared" si="41"/>
        <v>150</v>
      </c>
      <c r="G138" s="74">
        <f t="shared" si="25"/>
        <v>0</v>
      </c>
      <c r="H138" s="95">
        <f t="shared" si="42"/>
        <v>150</v>
      </c>
      <c r="I138" s="112">
        <f t="shared" si="43"/>
        <v>150</v>
      </c>
      <c r="J138" s="57"/>
      <c r="K138" s="57"/>
      <c r="L138" s="57"/>
      <c r="M138" s="57"/>
      <c r="N138" s="57"/>
      <c r="O138" s="57"/>
      <c r="P138" s="68"/>
      <c r="Q138" s="58"/>
      <c r="R138" s="76"/>
      <c r="S138" s="76"/>
      <c r="T138" s="128"/>
    </row>
    <row r="139" spans="1:20" s="3" customFormat="1" ht="15.75" x14ac:dyDescent="0.25">
      <c r="A139" s="7" t="s">
        <v>568</v>
      </c>
      <c r="B139" s="13" t="s">
        <v>56</v>
      </c>
      <c r="C139" s="23"/>
      <c r="D139" s="24"/>
      <c r="E139" s="17"/>
      <c r="F139" s="82">
        <f>SUM(F140:F143)</f>
        <v>2000</v>
      </c>
      <c r="G139" s="89">
        <f t="shared" si="25"/>
        <v>0</v>
      </c>
      <c r="H139" s="18">
        <f t="shared" si="42"/>
        <v>2000</v>
      </c>
      <c r="I139" s="54">
        <f>SUM(I140:I143)</f>
        <v>2000</v>
      </c>
      <c r="J139" s="55">
        <f t="shared" ref="J139:Q139" si="44">SUM(J140:J143)</f>
        <v>0</v>
      </c>
      <c r="K139" s="55">
        <f t="shared" si="44"/>
        <v>0</v>
      </c>
      <c r="L139" s="55">
        <f t="shared" si="44"/>
        <v>0</v>
      </c>
      <c r="M139" s="55">
        <f t="shared" si="44"/>
        <v>0</v>
      </c>
      <c r="N139" s="55">
        <f t="shared" si="44"/>
        <v>0</v>
      </c>
      <c r="O139" s="55">
        <f t="shared" si="44"/>
        <v>0</v>
      </c>
      <c r="P139" s="55">
        <f t="shared" si="44"/>
        <v>0</v>
      </c>
      <c r="Q139" s="56">
        <f t="shared" si="44"/>
        <v>0</v>
      </c>
      <c r="R139" s="33">
        <v>250</v>
      </c>
      <c r="S139" s="33">
        <f>SUM(S140:S143)</f>
        <v>0</v>
      </c>
      <c r="T139" s="127">
        <f>S139*100/R139</f>
        <v>0</v>
      </c>
    </row>
    <row r="140" spans="1:20" outlineLevel="1" x14ac:dyDescent="0.25">
      <c r="A140" s="4" t="s">
        <v>569</v>
      </c>
      <c r="B140" s="75" t="s">
        <v>58</v>
      </c>
      <c r="C140" s="25"/>
      <c r="D140" s="92">
        <v>1</v>
      </c>
      <c r="E140" s="110">
        <v>1000</v>
      </c>
      <c r="F140" s="93">
        <f>D140*E140</f>
        <v>1000</v>
      </c>
      <c r="G140" s="74">
        <f t="shared" si="25"/>
        <v>0</v>
      </c>
      <c r="H140" s="95">
        <f t="shared" si="42"/>
        <v>1000</v>
      </c>
      <c r="I140" s="112">
        <f>F140</f>
        <v>1000</v>
      </c>
      <c r="J140" s="57"/>
      <c r="K140" s="57"/>
      <c r="L140" s="57"/>
      <c r="M140" s="57"/>
      <c r="N140" s="57"/>
      <c r="O140" s="57"/>
      <c r="P140" s="68"/>
      <c r="Q140" s="58"/>
      <c r="R140" s="76"/>
      <c r="S140" s="76"/>
      <c r="T140" s="128"/>
    </row>
    <row r="141" spans="1:20" outlineLevel="1" x14ac:dyDescent="0.25">
      <c r="A141" s="4" t="s">
        <v>570</v>
      </c>
      <c r="B141" s="75" t="s">
        <v>57</v>
      </c>
      <c r="C141" s="25"/>
      <c r="D141" s="92">
        <v>1</v>
      </c>
      <c r="E141" s="110">
        <v>500</v>
      </c>
      <c r="F141" s="93">
        <f>D141*E141</f>
        <v>500</v>
      </c>
      <c r="G141" s="74">
        <f t="shared" ref="G141:G199" si="45">H141-F141</f>
        <v>0</v>
      </c>
      <c r="H141" s="95">
        <f t="shared" si="42"/>
        <v>500</v>
      </c>
      <c r="I141" s="112">
        <f>F141</f>
        <v>500</v>
      </c>
      <c r="J141" s="57"/>
      <c r="K141" s="57"/>
      <c r="L141" s="57"/>
      <c r="M141" s="57"/>
      <c r="N141" s="57"/>
      <c r="O141" s="57"/>
      <c r="P141" s="68"/>
      <c r="Q141" s="58"/>
      <c r="R141" s="76"/>
      <c r="S141" s="76"/>
      <c r="T141" s="128"/>
    </row>
    <row r="142" spans="1:20" outlineLevel="1" x14ac:dyDescent="0.25">
      <c r="A142" s="4" t="s">
        <v>571</v>
      </c>
      <c r="B142" s="75" t="s">
        <v>59</v>
      </c>
      <c r="C142" s="25"/>
      <c r="D142" s="92">
        <v>1</v>
      </c>
      <c r="E142" s="110">
        <v>200</v>
      </c>
      <c r="F142" s="93">
        <f>D142*E142</f>
        <v>200</v>
      </c>
      <c r="G142" s="74">
        <f t="shared" si="45"/>
        <v>0</v>
      </c>
      <c r="H142" s="95">
        <f t="shared" si="42"/>
        <v>200</v>
      </c>
      <c r="I142" s="112">
        <f>F142</f>
        <v>200</v>
      </c>
      <c r="J142" s="57"/>
      <c r="K142" s="57"/>
      <c r="L142" s="57"/>
      <c r="M142" s="57"/>
      <c r="N142" s="57"/>
      <c r="O142" s="57"/>
      <c r="P142" s="68"/>
      <c r="Q142" s="58"/>
      <c r="R142" s="76"/>
      <c r="S142" s="76"/>
      <c r="T142" s="128"/>
    </row>
    <row r="143" spans="1:20" outlineLevel="1" x14ac:dyDescent="0.25">
      <c r="A143" s="111" t="s">
        <v>572</v>
      </c>
      <c r="B143" s="26" t="s">
        <v>85</v>
      </c>
      <c r="C143" s="27"/>
      <c r="D143" s="92">
        <v>1</v>
      </c>
      <c r="E143" s="110">
        <v>300</v>
      </c>
      <c r="F143" s="93">
        <f>D143*E143</f>
        <v>300</v>
      </c>
      <c r="G143" s="117">
        <f t="shared" si="45"/>
        <v>0</v>
      </c>
      <c r="H143" s="95">
        <f t="shared" si="42"/>
        <v>300</v>
      </c>
      <c r="I143" s="112">
        <f>F143</f>
        <v>300</v>
      </c>
      <c r="J143" s="113"/>
      <c r="K143" s="113"/>
      <c r="L143" s="113"/>
      <c r="M143" s="113"/>
      <c r="N143" s="113"/>
      <c r="O143" s="113"/>
      <c r="P143" s="115"/>
      <c r="Q143" s="114"/>
      <c r="R143" s="76"/>
      <c r="S143" s="76"/>
      <c r="T143" s="128"/>
    </row>
    <row r="144" spans="1:20" s="3" customFormat="1" ht="15.75" x14ac:dyDescent="0.25">
      <c r="A144" s="7" t="s">
        <v>573</v>
      </c>
      <c r="B144" s="13" t="s">
        <v>585</v>
      </c>
      <c r="C144" s="23"/>
      <c r="D144" s="24"/>
      <c r="E144" s="17"/>
      <c r="F144" s="82">
        <f>SUM(F145:F148)</f>
        <v>2450</v>
      </c>
      <c r="G144" s="89">
        <f t="shared" si="45"/>
        <v>0</v>
      </c>
      <c r="H144" s="18">
        <f t="shared" si="42"/>
        <v>2450</v>
      </c>
      <c r="I144" s="54">
        <f t="shared" ref="I144:Q144" si="46">SUM(I145:I148)</f>
        <v>2450</v>
      </c>
      <c r="J144" s="54">
        <f t="shared" si="46"/>
        <v>0</v>
      </c>
      <c r="K144" s="54">
        <f t="shared" si="46"/>
        <v>0</v>
      </c>
      <c r="L144" s="54">
        <f t="shared" si="46"/>
        <v>0</v>
      </c>
      <c r="M144" s="54">
        <f t="shared" si="46"/>
        <v>0</v>
      </c>
      <c r="N144" s="54">
        <f t="shared" si="46"/>
        <v>0</v>
      </c>
      <c r="O144" s="54">
        <f t="shared" si="46"/>
        <v>0</v>
      </c>
      <c r="P144" s="54">
        <f t="shared" si="46"/>
        <v>0</v>
      </c>
      <c r="Q144" s="60">
        <f t="shared" si="46"/>
        <v>0</v>
      </c>
      <c r="R144" s="33">
        <v>330</v>
      </c>
      <c r="S144" s="33">
        <v>560</v>
      </c>
      <c r="T144" s="127">
        <f>S144*100/R144</f>
        <v>169.69696969696969</v>
      </c>
    </row>
    <row r="145" spans="1:20" outlineLevel="1" x14ac:dyDescent="0.25">
      <c r="A145" s="4" t="s">
        <v>574</v>
      </c>
      <c r="B145" s="75" t="s">
        <v>87</v>
      </c>
      <c r="C145" s="25"/>
      <c r="D145" s="92">
        <v>1</v>
      </c>
      <c r="E145" s="110">
        <v>150</v>
      </c>
      <c r="F145" s="93">
        <f>D145*E145</f>
        <v>150</v>
      </c>
      <c r="G145" s="74">
        <f t="shared" si="45"/>
        <v>0</v>
      </c>
      <c r="H145" s="95">
        <f t="shared" si="42"/>
        <v>150</v>
      </c>
      <c r="I145" s="112">
        <f>F145</f>
        <v>150</v>
      </c>
      <c r="J145" s="57"/>
      <c r="K145" s="57"/>
      <c r="L145" s="57"/>
      <c r="M145" s="57"/>
      <c r="N145" s="57"/>
      <c r="O145" s="57"/>
      <c r="P145" s="68"/>
      <c r="Q145" s="58"/>
      <c r="R145" s="76"/>
      <c r="S145" s="76"/>
      <c r="T145" s="128"/>
    </row>
    <row r="146" spans="1:20" outlineLevel="1" x14ac:dyDescent="0.25">
      <c r="A146" s="111" t="s">
        <v>575</v>
      </c>
      <c r="B146" s="26" t="s">
        <v>83</v>
      </c>
      <c r="C146" s="27"/>
      <c r="D146" s="92">
        <v>1</v>
      </c>
      <c r="E146" s="110">
        <v>200</v>
      </c>
      <c r="F146" s="93">
        <f>D146*E146</f>
        <v>200</v>
      </c>
      <c r="G146" s="117">
        <f t="shared" si="45"/>
        <v>0</v>
      </c>
      <c r="H146" s="95">
        <f t="shared" si="42"/>
        <v>200</v>
      </c>
      <c r="I146" s="112">
        <f>F146</f>
        <v>200</v>
      </c>
      <c r="J146" s="113"/>
      <c r="K146" s="113"/>
      <c r="L146" s="113"/>
      <c r="M146" s="113"/>
      <c r="N146" s="113"/>
      <c r="O146" s="113"/>
      <c r="P146" s="115"/>
      <c r="Q146" s="114"/>
      <c r="R146" s="116"/>
      <c r="S146" s="116"/>
      <c r="T146" s="129"/>
    </row>
    <row r="147" spans="1:20" outlineLevel="1" x14ac:dyDescent="0.25">
      <c r="A147" s="111" t="s">
        <v>576</v>
      </c>
      <c r="B147" s="26" t="s">
        <v>994</v>
      </c>
      <c r="C147" s="27"/>
      <c r="D147" s="92">
        <v>1</v>
      </c>
      <c r="E147" s="110">
        <v>2000</v>
      </c>
      <c r="F147" s="93">
        <f>D147*E147</f>
        <v>2000</v>
      </c>
      <c r="G147" s="117">
        <f t="shared" si="45"/>
        <v>0</v>
      </c>
      <c r="H147" s="95">
        <f t="shared" si="42"/>
        <v>2000</v>
      </c>
      <c r="I147" s="112">
        <f>F147</f>
        <v>2000</v>
      </c>
      <c r="J147" s="113"/>
      <c r="K147" s="113"/>
      <c r="L147" s="113"/>
      <c r="M147" s="113"/>
      <c r="N147" s="113"/>
      <c r="O147" s="113"/>
      <c r="P147" s="115"/>
      <c r="Q147" s="114"/>
      <c r="R147" s="116"/>
      <c r="S147" s="116"/>
      <c r="T147" s="129"/>
    </row>
    <row r="148" spans="1:20" outlineLevel="1" x14ac:dyDescent="0.25">
      <c r="A148" s="111" t="s">
        <v>960</v>
      </c>
      <c r="B148" s="26" t="s">
        <v>84</v>
      </c>
      <c r="C148" s="27"/>
      <c r="D148" s="28">
        <v>1</v>
      </c>
      <c r="E148" s="29">
        <v>100</v>
      </c>
      <c r="F148" s="85">
        <f>D148*E148</f>
        <v>100</v>
      </c>
      <c r="G148" s="117">
        <f t="shared" si="45"/>
        <v>0</v>
      </c>
      <c r="H148" s="30">
        <f t="shared" si="42"/>
        <v>100</v>
      </c>
      <c r="I148" s="112">
        <f>F148</f>
        <v>100</v>
      </c>
      <c r="J148" s="61"/>
      <c r="K148" s="61"/>
      <c r="L148" s="61"/>
      <c r="M148" s="61"/>
      <c r="N148" s="61"/>
      <c r="O148" s="61"/>
      <c r="P148" s="69"/>
      <c r="Q148" s="62"/>
      <c r="R148" s="76"/>
      <c r="S148" s="76"/>
      <c r="T148" s="128"/>
    </row>
    <row r="149" spans="1:20" s="2" customFormat="1" ht="21" x14ac:dyDescent="0.35">
      <c r="A149" s="8" t="s">
        <v>134</v>
      </c>
      <c r="B149" s="12" t="s">
        <v>895</v>
      </c>
      <c r="C149" s="21"/>
      <c r="D149" s="22"/>
      <c r="E149" s="15"/>
      <c r="F149" s="84">
        <f>F150+F153+F158+F163</f>
        <v>159859</v>
      </c>
      <c r="G149" s="89">
        <f t="shared" si="45"/>
        <v>0.39999999999417923</v>
      </c>
      <c r="H149" s="16">
        <f t="shared" si="42"/>
        <v>159859.4</v>
      </c>
      <c r="I149" s="51">
        <f t="shared" ref="I149:S149" si="47">I150+I153+I158+I163</f>
        <v>18253</v>
      </c>
      <c r="J149" s="51">
        <f t="shared" si="47"/>
        <v>121839</v>
      </c>
      <c r="K149" s="51">
        <f t="shared" si="47"/>
        <v>4267.3999999999996</v>
      </c>
      <c r="L149" s="51">
        <f t="shared" si="47"/>
        <v>0</v>
      </c>
      <c r="M149" s="51">
        <f t="shared" si="47"/>
        <v>0</v>
      </c>
      <c r="N149" s="51">
        <f t="shared" si="47"/>
        <v>15500</v>
      </c>
      <c r="O149" s="51">
        <f t="shared" si="47"/>
        <v>0</v>
      </c>
      <c r="P149" s="51">
        <f t="shared" si="47"/>
        <v>0</v>
      </c>
      <c r="Q149" s="59">
        <f t="shared" si="47"/>
        <v>0</v>
      </c>
      <c r="R149" s="32">
        <f t="shared" si="47"/>
        <v>173990</v>
      </c>
      <c r="S149" s="32">
        <f t="shared" si="47"/>
        <v>153579.85</v>
      </c>
      <c r="T149" s="126">
        <f>S149*100/R149</f>
        <v>88.269354560606928</v>
      </c>
    </row>
    <row r="150" spans="1:20" s="3" customFormat="1" ht="15.75" x14ac:dyDescent="0.25">
      <c r="A150" s="7" t="s">
        <v>135</v>
      </c>
      <c r="B150" s="13" t="s">
        <v>905</v>
      </c>
      <c r="C150" s="23"/>
      <c r="D150" s="24"/>
      <c r="E150" s="17"/>
      <c r="F150" s="82">
        <f>SUM(F151:F152)</f>
        <v>1500</v>
      </c>
      <c r="G150" s="89">
        <f t="shared" si="45"/>
        <v>0</v>
      </c>
      <c r="H150" s="18">
        <f t="shared" si="42"/>
        <v>1500</v>
      </c>
      <c r="I150" s="54">
        <f t="shared" ref="I150:Q150" si="48">SUM(I151:I152)</f>
        <v>0</v>
      </c>
      <c r="J150" s="55">
        <f t="shared" si="48"/>
        <v>1500</v>
      </c>
      <c r="K150" s="55">
        <f t="shared" si="48"/>
        <v>0</v>
      </c>
      <c r="L150" s="55">
        <f t="shared" si="48"/>
        <v>0</v>
      </c>
      <c r="M150" s="55">
        <f t="shared" si="48"/>
        <v>0</v>
      </c>
      <c r="N150" s="55">
        <f t="shared" si="48"/>
        <v>0</v>
      </c>
      <c r="O150" s="55">
        <f t="shared" si="48"/>
        <v>0</v>
      </c>
      <c r="P150" s="55">
        <f t="shared" si="48"/>
        <v>0</v>
      </c>
      <c r="Q150" s="56">
        <f t="shared" si="48"/>
        <v>0</v>
      </c>
      <c r="R150" s="33">
        <v>1600</v>
      </c>
      <c r="S150" s="33">
        <f>2137-679</f>
        <v>1458</v>
      </c>
      <c r="T150" s="127">
        <f>S150*100/R150</f>
        <v>91.125</v>
      </c>
    </row>
    <row r="151" spans="1:20" outlineLevel="1" x14ac:dyDescent="0.25">
      <c r="A151" s="5" t="s">
        <v>138</v>
      </c>
      <c r="B151" s="75" t="s">
        <v>905</v>
      </c>
      <c r="C151" s="25"/>
      <c r="D151" s="92">
        <v>1</v>
      </c>
      <c r="E151" s="110">
        <v>1500</v>
      </c>
      <c r="F151" s="93">
        <f>D151*E151</f>
        <v>1500</v>
      </c>
      <c r="G151" s="74">
        <f t="shared" si="45"/>
        <v>0</v>
      </c>
      <c r="H151" s="95">
        <f t="shared" si="42"/>
        <v>1500</v>
      </c>
      <c r="I151" s="112"/>
      <c r="J151" s="57">
        <v>1500</v>
      </c>
      <c r="K151" s="57"/>
      <c r="L151" s="57"/>
      <c r="M151" s="57"/>
      <c r="N151" s="57"/>
      <c r="O151" s="57"/>
      <c r="P151" s="68"/>
      <c r="Q151" s="58"/>
      <c r="R151" s="76"/>
      <c r="S151" s="76"/>
      <c r="T151" s="128"/>
    </row>
    <row r="152" spans="1:20" outlineLevel="1" x14ac:dyDescent="0.25">
      <c r="A152" s="4" t="s">
        <v>139</v>
      </c>
      <c r="B152" s="75" t="s">
        <v>47</v>
      </c>
      <c r="C152" s="25"/>
      <c r="D152" s="92"/>
      <c r="E152" s="110"/>
      <c r="F152" s="93">
        <f>D152*E152</f>
        <v>0</v>
      </c>
      <c r="G152" s="74">
        <f t="shared" si="45"/>
        <v>0</v>
      </c>
      <c r="H152" s="95">
        <f t="shared" si="42"/>
        <v>0</v>
      </c>
      <c r="I152" s="112"/>
      <c r="J152" s="57"/>
      <c r="K152" s="57"/>
      <c r="L152" s="57"/>
      <c r="M152" s="57"/>
      <c r="N152" s="57"/>
      <c r="O152" s="57"/>
      <c r="P152" s="68"/>
      <c r="Q152" s="58"/>
      <c r="R152" s="76"/>
      <c r="S152" s="76"/>
      <c r="T152" s="128"/>
    </row>
    <row r="153" spans="1:20" s="3" customFormat="1" ht="15.75" x14ac:dyDescent="0.25">
      <c r="A153" s="7" t="s">
        <v>143</v>
      </c>
      <c r="B153" s="13" t="s">
        <v>212</v>
      </c>
      <c r="C153" s="23"/>
      <c r="D153" s="24"/>
      <c r="E153" s="17"/>
      <c r="F153" s="82">
        <f>SUM(F154:F157)</f>
        <v>94361</v>
      </c>
      <c r="G153" s="89">
        <f t="shared" si="45"/>
        <v>0.39999999999417923</v>
      </c>
      <c r="H153" s="18">
        <f t="shared" si="42"/>
        <v>94361.4</v>
      </c>
      <c r="I153" s="54">
        <f t="shared" ref="I153:Q153" si="49">SUM(I154:I157)</f>
        <v>0</v>
      </c>
      <c r="J153" s="55">
        <f t="shared" si="49"/>
        <v>74594</v>
      </c>
      <c r="K153" s="55">
        <f t="shared" si="49"/>
        <v>4267.3999999999996</v>
      </c>
      <c r="L153" s="55">
        <f t="shared" si="49"/>
        <v>0</v>
      </c>
      <c r="M153" s="55">
        <f t="shared" si="49"/>
        <v>0</v>
      </c>
      <c r="N153" s="55">
        <f t="shared" si="49"/>
        <v>15500</v>
      </c>
      <c r="O153" s="55">
        <f t="shared" si="49"/>
        <v>0</v>
      </c>
      <c r="P153" s="55">
        <f t="shared" si="49"/>
        <v>0</v>
      </c>
      <c r="Q153" s="56">
        <f t="shared" si="49"/>
        <v>0</v>
      </c>
      <c r="R153" s="33">
        <f>109890-1500</f>
        <v>108390</v>
      </c>
      <c r="S153" s="33">
        <f>55166.53+37946.32+327+679</f>
        <v>94118.85</v>
      </c>
      <c r="T153" s="127">
        <f>S153*100/R153</f>
        <v>86.833517852200387</v>
      </c>
    </row>
    <row r="154" spans="1:20" outlineLevel="1" x14ac:dyDescent="0.25">
      <c r="A154" s="4" t="s">
        <v>144</v>
      </c>
      <c r="B154" s="75" t="s">
        <v>869</v>
      </c>
      <c r="C154" s="25"/>
      <c r="D154" s="92">
        <v>1</v>
      </c>
      <c r="E154" s="110">
        <v>54489</v>
      </c>
      <c r="F154" s="93">
        <f>D154*E154</f>
        <v>54489</v>
      </c>
      <c r="G154" s="74">
        <f t="shared" si="45"/>
        <v>0.40000000000145519</v>
      </c>
      <c r="H154" s="95">
        <f t="shared" si="42"/>
        <v>54489.4</v>
      </c>
      <c r="I154" s="112"/>
      <c r="J154" s="57">
        <f>54489-15500-6956-819+3508</f>
        <v>34722</v>
      </c>
      <c r="K154" s="57">
        <f>+(4492)*0.95</f>
        <v>4267.3999999999996</v>
      </c>
      <c r="L154" s="57"/>
      <c r="M154" s="57"/>
      <c r="N154" s="57">
        <v>15500</v>
      </c>
      <c r="O154" s="57"/>
      <c r="P154" s="68"/>
      <c r="Q154" s="58"/>
      <c r="R154" s="76"/>
      <c r="S154" s="76"/>
      <c r="T154" s="128"/>
    </row>
    <row r="155" spans="1:20" outlineLevel="1" x14ac:dyDescent="0.25">
      <c r="A155" s="4" t="s">
        <v>145</v>
      </c>
      <c r="B155" s="75" t="s">
        <v>870</v>
      </c>
      <c r="C155" s="25"/>
      <c r="D155" s="92">
        <v>1</v>
      </c>
      <c r="E155" s="110">
        <v>30672</v>
      </c>
      <c r="F155" s="93">
        <f>D155*E155</f>
        <v>30672</v>
      </c>
      <c r="G155" s="74">
        <f t="shared" si="45"/>
        <v>0</v>
      </c>
      <c r="H155" s="95">
        <f t="shared" si="42"/>
        <v>30672</v>
      </c>
      <c r="I155" s="112"/>
      <c r="J155" s="57">
        <v>30672</v>
      </c>
      <c r="K155" s="57"/>
      <c r="L155" s="57"/>
      <c r="M155" s="57"/>
      <c r="N155" s="57"/>
      <c r="O155" s="57"/>
      <c r="P155" s="68"/>
      <c r="Q155" s="58"/>
      <c r="R155" s="76"/>
      <c r="S155" s="76"/>
      <c r="T155" s="128"/>
    </row>
    <row r="156" spans="1:20" outlineLevel="1" x14ac:dyDescent="0.25">
      <c r="A156" s="4" t="s">
        <v>146</v>
      </c>
      <c r="B156" s="75" t="s">
        <v>874</v>
      </c>
      <c r="C156" s="25"/>
      <c r="D156" s="92">
        <v>1</v>
      </c>
      <c r="E156" s="110">
        <v>2200</v>
      </c>
      <c r="F156" s="93">
        <f>D156*E156</f>
        <v>2200</v>
      </c>
      <c r="G156" s="74">
        <f t="shared" si="45"/>
        <v>0</v>
      </c>
      <c r="H156" s="95">
        <f t="shared" si="42"/>
        <v>2200</v>
      </c>
      <c r="I156" s="112"/>
      <c r="J156" s="57">
        <v>2200</v>
      </c>
      <c r="K156" s="57"/>
      <c r="L156" s="57"/>
      <c r="M156" s="57"/>
      <c r="N156" s="57"/>
      <c r="O156" s="57"/>
      <c r="P156" s="68"/>
      <c r="Q156" s="58"/>
      <c r="R156" s="76"/>
      <c r="S156" s="76"/>
      <c r="T156" s="128"/>
    </row>
    <row r="157" spans="1:20" outlineLevel="1" x14ac:dyDescent="0.25">
      <c r="A157" s="4" t="s">
        <v>147</v>
      </c>
      <c r="B157" s="75" t="s">
        <v>47</v>
      </c>
      <c r="C157" s="25"/>
      <c r="D157" s="92">
        <v>1</v>
      </c>
      <c r="E157" s="110">
        <v>7000</v>
      </c>
      <c r="F157" s="93">
        <f>D157*E157</f>
        <v>7000</v>
      </c>
      <c r="G157" s="74">
        <f t="shared" si="45"/>
        <v>0</v>
      </c>
      <c r="H157" s="95">
        <f t="shared" si="42"/>
        <v>7000</v>
      </c>
      <c r="I157" s="112"/>
      <c r="J157" s="57">
        <v>7000</v>
      </c>
      <c r="K157" s="57"/>
      <c r="L157" s="57"/>
      <c r="M157" s="57"/>
      <c r="N157" s="57"/>
      <c r="O157" s="57"/>
      <c r="P157" s="68"/>
      <c r="Q157" s="58"/>
      <c r="R157" s="76"/>
      <c r="S157" s="76"/>
      <c r="T157" s="128"/>
    </row>
    <row r="158" spans="1:20" s="3" customFormat="1" ht="15.75" x14ac:dyDescent="0.25">
      <c r="A158" s="7" t="s">
        <v>150</v>
      </c>
      <c r="B158" s="13" t="s">
        <v>228</v>
      </c>
      <c r="C158" s="23"/>
      <c r="D158" s="24"/>
      <c r="E158" s="17"/>
      <c r="F158" s="82">
        <f>SUM(F159:F162)</f>
        <v>47498</v>
      </c>
      <c r="G158" s="89">
        <f t="shared" si="45"/>
        <v>0</v>
      </c>
      <c r="H158" s="18">
        <f t="shared" si="42"/>
        <v>47498</v>
      </c>
      <c r="I158" s="54">
        <f t="shared" ref="I158:Q158" si="50">SUM(I159:I162)</f>
        <v>1753</v>
      </c>
      <c r="J158" s="55">
        <f t="shared" si="50"/>
        <v>45745</v>
      </c>
      <c r="K158" s="55">
        <f t="shared" si="50"/>
        <v>0</v>
      </c>
      <c r="L158" s="55">
        <f t="shared" si="50"/>
        <v>0</v>
      </c>
      <c r="M158" s="55">
        <f t="shared" si="50"/>
        <v>0</v>
      </c>
      <c r="N158" s="55">
        <f t="shared" si="50"/>
        <v>0</v>
      </c>
      <c r="O158" s="55">
        <f t="shared" si="50"/>
        <v>0</v>
      </c>
      <c r="P158" s="55">
        <f t="shared" si="50"/>
        <v>0</v>
      </c>
      <c r="Q158" s="56">
        <f t="shared" si="50"/>
        <v>0</v>
      </c>
      <c r="R158" s="33">
        <v>47500</v>
      </c>
      <c r="S158" s="33">
        <f>41503</f>
        <v>41503</v>
      </c>
      <c r="T158" s="127">
        <f>S158*100/R158</f>
        <v>87.374736842105264</v>
      </c>
    </row>
    <row r="159" spans="1:20" outlineLevel="1" x14ac:dyDescent="0.25">
      <c r="A159" s="4" t="s">
        <v>151</v>
      </c>
      <c r="B159" s="75" t="s">
        <v>871</v>
      </c>
      <c r="C159" s="25"/>
      <c r="D159" s="92">
        <v>1</v>
      </c>
      <c r="E159" s="110">
        <v>5590</v>
      </c>
      <c r="F159" s="93">
        <f>D159*E159</f>
        <v>5590</v>
      </c>
      <c r="G159" s="74">
        <f t="shared" si="45"/>
        <v>0</v>
      </c>
      <c r="H159" s="95">
        <f t="shared" si="42"/>
        <v>5590</v>
      </c>
      <c r="I159" s="112"/>
      <c r="J159" s="57">
        <v>5590</v>
      </c>
      <c r="K159" s="57"/>
      <c r="L159" s="57"/>
      <c r="M159" s="57"/>
      <c r="N159" s="57"/>
      <c r="O159" s="57"/>
      <c r="P159" s="68"/>
      <c r="Q159" s="58"/>
      <c r="R159" s="76"/>
      <c r="S159" s="76"/>
      <c r="T159" s="128"/>
    </row>
    <row r="160" spans="1:20" outlineLevel="1" x14ac:dyDescent="0.25">
      <c r="A160" s="6" t="s">
        <v>154</v>
      </c>
      <c r="B160" s="75" t="s">
        <v>872</v>
      </c>
      <c r="C160" s="25"/>
      <c r="D160" s="92">
        <v>1</v>
      </c>
      <c r="E160" s="110">
        <v>13468</v>
      </c>
      <c r="F160" s="93">
        <f>D160*E160</f>
        <v>13468</v>
      </c>
      <c r="G160" s="74">
        <f t="shared" si="45"/>
        <v>0</v>
      </c>
      <c r="H160" s="95">
        <f t="shared" si="42"/>
        <v>13468</v>
      </c>
      <c r="I160" s="112"/>
      <c r="J160" s="57">
        <v>13468</v>
      </c>
      <c r="K160" s="57"/>
      <c r="L160" s="57"/>
      <c r="M160" s="57"/>
      <c r="N160" s="57"/>
      <c r="O160" s="57"/>
      <c r="P160" s="68"/>
      <c r="Q160" s="58"/>
      <c r="R160" s="76"/>
      <c r="S160" s="76"/>
      <c r="T160" s="128"/>
    </row>
    <row r="161" spans="1:21" outlineLevel="1" x14ac:dyDescent="0.25">
      <c r="A161" s="4" t="s">
        <v>586</v>
      </c>
      <c r="B161" s="75" t="s">
        <v>873</v>
      </c>
      <c r="C161" s="25"/>
      <c r="D161" s="92">
        <v>1</v>
      </c>
      <c r="E161" s="110">
        <v>28440</v>
      </c>
      <c r="F161" s="93">
        <f>D161*E161</f>
        <v>28440</v>
      </c>
      <c r="G161" s="74">
        <f t="shared" si="45"/>
        <v>0</v>
      </c>
      <c r="H161" s="95">
        <f t="shared" si="42"/>
        <v>28440</v>
      </c>
      <c r="I161" s="112">
        <v>1753</v>
      </c>
      <c r="J161" s="57">
        <f>28440-1753</f>
        <v>26687</v>
      </c>
      <c r="K161" s="57">
        <v>0</v>
      </c>
      <c r="L161" s="57"/>
      <c r="M161" s="57"/>
      <c r="N161" s="57"/>
      <c r="O161" s="57"/>
      <c r="P161" s="68"/>
      <c r="Q161" s="58"/>
      <c r="R161" s="76"/>
      <c r="S161" s="76"/>
      <c r="T161" s="128"/>
    </row>
    <row r="162" spans="1:21" outlineLevel="1" x14ac:dyDescent="0.25">
      <c r="A162" s="4" t="s">
        <v>587</v>
      </c>
      <c r="B162" s="75" t="s">
        <v>47</v>
      </c>
      <c r="C162" s="25"/>
      <c r="D162" s="92"/>
      <c r="E162" s="110"/>
      <c r="F162" s="93">
        <f>D162*E162</f>
        <v>0</v>
      </c>
      <c r="G162" s="74">
        <f t="shared" si="45"/>
        <v>0</v>
      </c>
      <c r="H162" s="95">
        <f t="shared" si="42"/>
        <v>0</v>
      </c>
      <c r="I162" s="112"/>
      <c r="J162" s="57"/>
      <c r="K162" s="57"/>
      <c r="L162" s="57"/>
      <c r="M162" s="57"/>
      <c r="N162" s="57"/>
      <c r="O162" s="57"/>
      <c r="P162" s="68"/>
      <c r="Q162" s="58"/>
      <c r="R162" s="76"/>
      <c r="S162" s="76"/>
      <c r="T162" s="128"/>
    </row>
    <row r="163" spans="1:21" s="3" customFormat="1" ht="15.75" x14ac:dyDescent="0.25">
      <c r="A163" s="7" t="s">
        <v>150</v>
      </c>
      <c r="B163" s="13" t="s">
        <v>495</v>
      </c>
      <c r="C163" s="23"/>
      <c r="D163" s="24"/>
      <c r="E163" s="17"/>
      <c r="F163" s="82">
        <f>SUM(F164:F165)</f>
        <v>16500</v>
      </c>
      <c r="G163" s="89">
        <f t="shared" si="45"/>
        <v>0</v>
      </c>
      <c r="H163" s="18">
        <f t="shared" si="42"/>
        <v>16500</v>
      </c>
      <c r="I163" s="54">
        <f t="shared" ref="I163:Q163" si="51">SUM(I164:I165)</f>
        <v>16500</v>
      </c>
      <c r="J163" s="55">
        <f t="shared" si="51"/>
        <v>0</v>
      </c>
      <c r="K163" s="55">
        <f t="shared" si="51"/>
        <v>0</v>
      </c>
      <c r="L163" s="55">
        <f t="shared" si="51"/>
        <v>0</v>
      </c>
      <c r="M163" s="55">
        <f t="shared" si="51"/>
        <v>0</v>
      </c>
      <c r="N163" s="55">
        <f t="shared" si="51"/>
        <v>0</v>
      </c>
      <c r="O163" s="55">
        <f t="shared" si="51"/>
        <v>0</v>
      </c>
      <c r="P163" s="55">
        <f t="shared" si="51"/>
        <v>0</v>
      </c>
      <c r="Q163" s="56">
        <f t="shared" si="51"/>
        <v>0</v>
      </c>
      <c r="R163" s="33">
        <v>16500</v>
      </c>
      <c r="S163" s="33">
        <v>16500</v>
      </c>
      <c r="T163" s="127">
        <f>S163*100/R163</f>
        <v>100</v>
      </c>
    </row>
    <row r="164" spans="1:21" outlineLevel="1" x14ac:dyDescent="0.25">
      <c r="A164" s="4" t="s">
        <v>151</v>
      </c>
      <c r="B164" s="75" t="s">
        <v>225</v>
      </c>
      <c r="C164" s="25"/>
      <c r="D164" s="92">
        <v>1</v>
      </c>
      <c r="E164" s="110">
        <v>16500</v>
      </c>
      <c r="F164" s="93">
        <f>D164*E164</f>
        <v>16500</v>
      </c>
      <c r="G164" s="74">
        <f t="shared" si="45"/>
        <v>0</v>
      </c>
      <c r="H164" s="95">
        <f t="shared" si="42"/>
        <v>16500</v>
      </c>
      <c r="I164" s="57">
        <v>16500</v>
      </c>
      <c r="J164" s="57"/>
      <c r="K164" s="57"/>
      <c r="L164" s="57"/>
      <c r="M164" s="57"/>
      <c r="N164" s="57"/>
      <c r="O164" s="57"/>
      <c r="P164" s="68"/>
      <c r="Q164" s="58"/>
      <c r="R164" s="76"/>
      <c r="S164" s="76"/>
      <c r="T164" s="128"/>
    </row>
    <row r="165" spans="1:21" outlineLevel="1" x14ac:dyDescent="0.25">
      <c r="A165" s="6" t="s">
        <v>154</v>
      </c>
      <c r="B165" s="75" t="s">
        <v>496</v>
      </c>
      <c r="C165" s="25"/>
      <c r="D165" s="92"/>
      <c r="E165" s="110"/>
      <c r="F165" s="93">
        <f>D165*E165</f>
        <v>0</v>
      </c>
      <c r="G165" s="74">
        <f t="shared" si="45"/>
        <v>0</v>
      </c>
      <c r="H165" s="95">
        <f t="shared" si="42"/>
        <v>0</v>
      </c>
      <c r="I165" s="112"/>
      <c r="J165" s="57"/>
      <c r="K165" s="57"/>
      <c r="L165" s="57"/>
      <c r="M165" s="57"/>
      <c r="N165" s="57"/>
      <c r="O165" s="57"/>
      <c r="P165" s="68"/>
      <c r="Q165" s="58"/>
      <c r="R165" s="76"/>
      <c r="S165" s="76"/>
      <c r="T165" s="128"/>
    </row>
    <row r="166" spans="1:21" s="2" customFormat="1" ht="21" x14ac:dyDescent="0.35">
      <c r="A166" s="8" t="s">
        <v>158</v>
      </c>
      <c r="B166" s="12" t="s">
        <v>210</v>
      </c>
      <c r="C166" s="21"/>
      <c r="D166" s="22"/>
      <c r="E166" s="15"/>
      <c r="F166" s="84">
        <f>F167+F173+F179+F183+F186+F189+F195+F201+F205</f>
        <v>186989</v>
      </c>
      <c r="G166" s="89">
        <f t="shared" si="45"/>
        <v>9700</v>
      </c>
      <c r="H166" s="16">
        <f t="shared" si="42"/>
        <v>196689</v>
      </c>
      <c r="I166" s="51">
        <f t="shared" ref="I166:Q166" si="52">I167+I173+I179+I183+I186+I189+I195+I201+I205</f>
        <v>0</v>
      </c>
      <c r="J166" s="105">
        <f t="shared" si="52"/>
        <v>185349</v>
      </c>
      <c r="K166" s="51">
        <f t="shared" si="52"/>
        <v>4840</v>
      </c>
      <c r="L166" s="51">
        <f t="shared" si="52"/>
        <v>0</v>
      </c>
      <c r="M166" s="51">
        <f t="shared" si="52"/>
        <v>0</v>
      </c>
      <c r="N166" s="51">
        <f t="shared" si="52"/>
        <v>0</v>
      </c>
      <c r="O166" s="51">
        <f t="shared" si="52"/>
        <v>0</v>
      </c>
      <c r="P166" s="51">
        <f t="shared" si="52"/>
        <v>6500</v>
      </c>
      <c r="Q166" s="59">
        <f t="shared" si="52"/>
        <v>0</v>
      </c>
      <c r="R166" s="32">
        <f>+R167+R173+R179+R183+R186+R189+R195+R201+R205</f>
        <v>196098</v>
      </c>
      <c r="S166" s="32">
        <f>S167+S173+S179+S183+S186+S189+S195+S201+S205</f>
        <v>126597.55</v>
      </c>
      <c r="T166" s="126">
        <f>S166*100/R166</f>
        <v>64.558307580903431</v>
      </c>
    </row>
    <row r="167" spans="1:21" s="3" customFormat="1" ht="15.75" x14ac:dyDescent="0.25">
      <c r="A167" s="7" t="s">
        <v>159</v>
      </c>
      <c r="B167" s="13" t="s">
        <v>312</v>
      </c>
      <c r="C167" s="23"/>
      <c r="D167" s="24"/>
      <c r="E167" s="17"/>
      <c r="F167" s="82">
        <f>SUM(F168:F172)</f>
        <v>29500</v>
      </c>
      <c r="G167" s="89">
        <f t="shared" si="45"/>
        <v>0</v>
      </c>
      <c r="H167" s="18">
        <f t="shared" si="42"/>
        <v>29500</v>
      </c>
      <c r="I167" s="54">
        <f t="shared" ref="I167:Q167" si="53">SUM(I168:I172)</f>
        <v>0</v>
      </c>
      <c r="J167" s="55">
        <f t="shared" si="53"/>
        <v>29500</v>
      </c>
      <c r="K167" s="55">
        <f t="shared" si="53"/>
        <v>0</v>
      </c>
      <c r="L167" s="55">
        <f t="shared" si="53"/>
        <v>0</v>
      </c>
      <c r="M167" s="55">
        <f>SUM(M168:M172)</f>
        <v>0</v>
      </c>
      <c r="N167" s="55">
        <f t="shared" si="53"/>
        <v>0</v>
      </c>
      <c r="O167" s="55">
        <f t="shared" si="53"/>
        <v>0</v>
      </c>
      <c r="P167" s="55">
        <f t="shared" si="53"/>
        <v>0</v>
      </c>
      <c r="Q167" s="56">
        <f t="shared" si="53"/>
        <v>0</v>
      </c>
      <c r="R167" s="72">
        <v>27898</v>
      </c>
      <c r="S167" s="72">
        <f>3100+6388.56+500+200.28+1871.29+390.37+178+4992.93+9381.3+41706.39-13902.13-13902.13+6149.99+21229.56-6499.15-8231.26+235.12+4434.49</f>
        <v>58223.61</v>
      </c>
      <c r="T167" s="127">
        <f>S167*100/R167</f>
        <v>208.70173489139006</v>
      </c>
      <c r="U167" s="120"/>
    </row>
    <row r="168" spans="1:21" outlineLevel="1" x14ac:dyDescent="0.25">
      <c r="A168" s="5" t="s">
        <v>160</v>
      </c>
      <c r="B168" s="75" t="s">
        <v>840</v>
      </c>
      <c r="C168" s="25" t="s">
        <v>838</v>
      </c>
      <c r="D168" s="92">
        <v>1</v>
      </c>
      <c r="E168" s="110">
        <v>5500</v>
      </c>
      <c r="F168" s="93">
        <f>D168*E168</f>
        <v>5500</v>
      </c>
      <c r="G168" s="74">
        <f t="shared" si="45"/>
        <v>0</v>
      </c>
      <c r="H168" s="95">
        <f t="shared" si="42"/>
        <v>5500</v>
      </c>
      <c r="I168" s="112"/>
      <c r="J168" s="57">
        <v>5500</v>
      </c>
      <c r="K168" s="57"/>
      <c r="L168" s="57"/>
      <c r="M168" s="57"/>
      <c r="N168" s="57"/>
      <c r="O168" s="57"/>
      <c r="P168" s="68"/>
      <c r="Q168" s="58"/>
      <c r="R168" s="76"/>
      <c r="S168" s="76"/>
      <c r="T168" s="128"/>
    </row>
    <row r="169" spans="1:21" outlineLevel="1" x14ac:dyDescent="0.25">
      <c r="A169" s="4" t="s">
        <v>161</v>
      </c>
      <c r="B169" s="75" t="s">
        <v>841</v>
      </c>
      <c r="C169" s="25" t="s">
        <v>839</v>
      </c>
      <c r="D169" s="92">
        <v>1</v>
      </c>
      <c r="E169" s="110">
        <v>5000</v>
      </c>
      <c r="F169" s="93">
        <f>D169*E169</f>
        <v>5000</v>
      </c>
      <c r="G169" s="74">
        <f t="shared" si="45"/>
        <v>0</v>
      </c>
      <c r="H169" s="95">
        <f t="shared" si="42"/>
        <v>5000</v>
      </c>
      <c r="I169" s="112"/>
      <c r="J169" s="57">
        <v>5000</v>
      </c>
      <c r="K169" s="57"/>
      <c r="L169" s="57"/>
      <c r="M169" s="57"/>
      <c r="N169" s="57"/>
      <c r="O169" s="57"/>
      <c r="P169" s="68"/>
      <c r="Q169" s="58"/>
      <c r="R169" s="76"/>
      <c r="S169" s="76"/>
      <c r="T169" s="128"/>
    </row>
    <row r="170" spans="1:21" outlineLevel="1" x14ac:dyDescent="0.25">
      <c r="A170" s="4" t="s">
        <v>162</v>
      </c>
      <c r="B170" s="75" t="s">
        <v>842</v>
      </c>
      <c r="C170" s="25" t="s">
        <v>838</v>
      </c>
      <c r="D170" s="92">
        <v>1</v>
      </c>
      <c r="E170" s="110">
        <v>8000</v>
      </c>
      <c r="F170" s="93">
        <f>D170*E170</f>
        <v>8000</v>
      </c>
      <c r="G170" s="74">
        <f t="shared" si="45"/>
        <v>0</v>
      </c>
      <c r="H170" s="95">
        <f t="shared" si="42"/>
        <v>8000</v>
      </c>
      <c r="I170" s="112"/>
      <c r="J170" s="57">
        <v>8000</v>
      </c>
      <c r="K170" s="57"/>
      <c r="L170" s="57"/>
      <c r="M170" s="57"/>
      <c r="N170" s="57"/>
      <c r="O170" s="57"/>
      <c r="P170" s="68"/>
      <c r="Q170" s="58"/>
      <c r="R170" s="76"/>
      <c r="S170" s="76"/>
      <c r="T170" s="128"/>
      <c r="U170" s="108"/>
    </row>
    <row r="171" spans="1:21" outlineLevel="1" x14ac:dyDescent="0.25">
      <c r="A171" s="4" t="s">
        <v>163</v>
      </c>
      <c r="B171" s="75" t="s">
        <v>843</v>
      </c>
      <c r="C171" s="25" t="s">
        <v>838</v>
      </c>
      <c r="D171" s="92">
        <v>1</v>
      </c>
      <c r="E171" s="110">
        <v>8000</v>
      </c>
      <c r="F171" s="93">
        <f>D171*E171</f>
        <v>8000</v>
      </c>
      <c r="G171" s="74">
        <f t="shared" si="45"/>
        <v>0</v>
      </c>
      <c r="H171" s="95">
        <f t="shared" si="42"/>
        <v>8000</v>
      </c>
      <c r="I171" s="112"/>
      <c r="J171" s="57">
        <v>8000</v>
      </c>
      <c r="K171" s="57"/>
      <c r="L171" s="57"/>
      <c r="M171" s="57"/>
      <c r="N171" s="57"/>
      <c r="O171" s="57"/>
      <c r="P171" s="68"/>
      <c r="Q171" s="58"/>
      <c r="R171" s="76"/>
      <c r="S171" s="76"/>
      <c r="T171" s="128"/>
    </row>
    <row r="172" spans="1:21" outlineLevel="1" x14ac:dyDescent="0.25">
      <c r="A172" s="4" t="s">
        <v>164</v>
      </c>
      <c r="B172" s="75" t="s">
        <v>996</v>
      </c>
      <c r="C172" s="25"/>
      <c r="D172" s="92">
        <v>1</v>
      </c>
      <c r="E172" s="110">
        <v>3000</v>
      </c>
      <c r="F172" s="93">
        <f>D172*E172</f>
        <v>3000</v>
      </c>
      <c r="G172" s="74">
        <f t="shared" si="45"/>
        <v>0</v>
      </c>
      <c r="H172" s="95">
        <f t="shared" si="42"/>
        <v>3000</v>
      </c>
      <c r="I172" s="112"/>
      <c r="J172" s="57">
        <v>3000</v>
      </c>
      <c r="K172" s="57"/>
      <c r="L172" s="57"/>
      <c r="M172" s="57"/>
      <c r="N172" s="57"/>
      <c r="O172" s="57"/>
      <c r="P172" s="68"/>
      <c r="Q172" s="58"/>
      <c r="R172" s="76"/>
      <c r="S172" s="76"/>
      <c r="T172" s="128"/>
    </row>
    <row r="173" spans="1:21" s="3" customFormat="1" ht="15.75" x14ac:dyDescent="0.25">
      <c r="A173" s="7" t="s">
        <v>167</v>
      </c>
      <c r="B173" s="13" t="s">
        <v>313</v>
      </c>
      <c r="C173" s="23"/>
      <c r="D173" s="24"/>
      <c r="E173" s="17"/>
      <c r="F173" s="82">
        <f>SUM(F174:F178)</f>
        <v>53500</v>
      </c>
      <c r="G173" s="89">
        <f t="shared" si="45"/>
        <v>0</v>
      </c>
      <c r="H173" s="18">
        <f t="shared" si="42"/>
        <v>53500</v>
      </c>
      <c r="I173" s="54">
        <f t="shared" ref="I173:Q173" si="54">SUM(I174:I178)</f>
        <v>0</v>
      </c>
      <c r="J173" s="55">
        <f t="shared" si="54"/>
        <v>53500</v>
      </c>
      <c r="K173" s="55">
        <f t="shared" si="54"/>
        <v>0</v>
      </c>
      <c r="L173" s="55">
        <f t="shared" si="54"/>
        <v>0</v>
      </c>
      <c r="M173" s="55">
        <f t="shared" si="54"/>
        <v>0</v>
      </c>
      <c r="N173" s="55">
        <f t="shared" si="54"/>
        <v>0</v>
      </c>
      <c r="O173" s="55">
        <f t="shared" si="54"/>
        <v>0</v>
      </c>
      <c r="P173" s="55">
        <f t="shared" si="54"/>
        <v>0</v>
      </c>
      <c r="Q173" s="56">
        <f t="shared" si="54"/>
        <v>0</v>
      </c>
      <c r="R173" s="33">
        <v>52000</v>
      </c>
      <c r="S173" s="33">
        <f>SUM(S174:S178)</f>
        <v>0</v>
      </c>
      <c r="T173" s="127">
        <f>S173*100/R173</f>
        <v>0</v>
      </c>
    </row>
    <row r="174" spans="1:21" outlineLevel="1" x14ac:dyDescent="0.25">
      <c r="A174" s="4" t="s">
        <v>168</v>
      </c>
      <c r="B174" s="75" t="s">
        <v>844</v>
      </c>
      <c r="C174" s="25"/>
      <c r="D174" s="92">
        <v>1</v>
      </c>
      <c r="E174" s="110">
        <v>15000</v>
      </c>
      <c r="F174" s="93">
        <f>D174*E174</f>
        <v>15000</v>
      </c>
      <c r="G174" s="74">
        <f t="shared" si="45"/>
        <v>0</v>
      </c>
      <c r="H174" s="95">
        <f t="shared" si="42"/>
        <v>15000</v>
      </c>
      <c r="I174" s="112"/>
      <c r="J174" s="57">
        <v>15000</v>
      </c>
      <c r="K174" s="57"/>
      <c r="L174" s="57"/>
      <c r="M174" s="57"/>
      <c r="N174" s="57"/>
      <c r="O174" s="57"/>
      <c r="P174" s="68"/>
      <c r="Q174" s="58"/>
      <c r="R174" s="76"/>
      <c r="S174" s="76"/>
      <c r="T174" s="128"/>
    </row>
    <row r="175" spans="1:21" outlineLevel="1" x14ac:dyDescent="0.25">
      <c r="A175" s="4" t="s">
        <v>169</v>
      </c>
      <c r="B175" s="75" t="s">
        <v>845</v>
      </c>
      <c r="C175" s="25"/>
      <c r="D175" s="92">
        <v>1</v>
      </c>
      <c r="E175" s="110">
        <v>15000</v>
      </c>
      <c r="F175" s="93">
        <f>D175*E175</f>
        <v>15000</v>
      </c>
      <c r="G175" s="74">
        <f t="shared" si="45"/>
        <v>0</v>
      </c>
      <c r="H175" s="95">
        <f t="shared" si="42"/>
        <v>15000</v>
      </c>
      <c r="I175" s="112"/>
      <c r="J175" s="57">
        <v>15000</v>
      </c>
      <c r="K175" s="57"/>
      <c r="L175" s="57"/>
      <c r="M175" s="57"/>
      <c r="N175" s="57"/>
      <c r="O175" s="57"/>
      <c r="P175" s="68"/>
      <c r="Q175" s="58"/>
      <c r="R175" s="76"/>
      <c r="S175" s="76"/>
      <c r="T175" s="128"/>
    </row>
    <row r="176" spans="1:21" outlineLevel="1" x14ac:dyDescent="0.25">
      <c r="A176" s="4" t="s">
        <v>170</v>
      </c>
      <c r="B176" s="75" t="s">
        <v>846</v>
      </c>
      <c r="C176" s="25"/>
      <c r="D176" s="92">
        <v>1</v>
      </c>
      <c r="E176" s="110">
        <v>8500</v>
      </c>
      <c r="F176" s="93">
        <f>D176*E176</f>
        <v>8500</v>
      </c>
      <c r="G176" s="74">
        <f t="shared" si="45"/>
        <v>0</v>
      </c>
      <c r="H176" s="95">
        <f t="shared" si="42"/>
        <v>8500</v>
      </c>
      <c r="I176" s="112"/>
      <c r="J176" s="57">
        <v>8500</v>
      </c>
      <c r="K176" s="57"/>
      <c r="L176" s="57"/>
      <c r="M176" s="57"/>
      <c r="N176" s="57"/>
      <c r="O176" s="57"/>
      <c r="P176" s="68"/>
      <c r="Q176" s="58"/>
      <c r="R176" s="76"/>
      <c r="S176" s="76"/>
      <c r="T176" s="128"/>
    </row>
    <row r="177" spans="1:20" outlineLevel="1" x14ac:dyDescent="0.25">
      <c r="A177" s="4" t="s">
        <v>171</v>
      </c>
      <c r="B177" s="75" t="s">
        <v>964</v>
      </c>
      <c r="C177" s="25"/>
      <c r="D177" s="92">
        <v>1</v>
      </c>
      <c r="E177" s="110">
        <v>15000</v>
      </c>
      <c r="F177" s="93">
        <f>D177*E177</f>
        <v>15000</v>
      </c>
      <c r="G177" s="74">
        <f t="shared" si="45"/>
        <v>0</v>
      </c>
      <c r="H177" s="95">
        <f t="shared" si="42"/>
        <v>15000</v>
      </c>
      <c r="I177" s="112"/>
      <c r="J177" s="57">
        <v>15000</v>
      </c>
      <c r="K177" s="57"/>
      <c r="L177" s="57"/>
      <c r="M177" s="57"/>
      <c r="N177" s="57"/>
      <c r="O177" s="57"/>
      <c r="P177" s="68"/>
      <c r="Q177" s="58"/>
      <c r="R177" s="76"/>
      <c r="S177" s="76"/>
      <c r="T177" s="128"/>
    </row>
    <row r="178" spans="1:20" outlineLevel="1" x14ac:dyDescent="0.25">
      <c r="A178" s="4" t="s">
        <v>172</v>
      </c>
      <c r="B178" s="75" t="s">
        <v>47</v>
      </c>
      <c r="C178" s="25"/>
      <c r="D178" s="92"/>
      <c r="E178" s="110"/>
      <c r="F178" s="93"/>
      <c r="G178" s="74">
        <f t="shared" si="45"/>
        <v>0</v>
      </c>
      <c r="H178" s="95">
        <f t="shared" si="42"/>
        <v>0</v>
      </c>
      <c r="I178" s="112"/>
      <c r="J178" s="57"/>
      <c r="K178" s="57"/>
      <c r="L178" s="57"/>
      <c r="M178" s="57"/>
      <c r="N178" s="57"/>
      <c r="O178" s="57"/>
      <c r="P178" s="68"/>
      <c r="Q178" s="58"/>
      <c r="R178" s="76"/>
      <c r="S178" s="76"/>
      <c r="T178" s="128"/>
    </row>
    <row r="179" spans="1:20" s="3" customFormat="1" ht="15.75" x14ac:dyDescent="0.25">
      <c r="A179" s="7" t="s">
        <v>173</v>
      </c>
      <c r="B179" s="13" t="s">
        <v>316</v>
      </c>
      <c r="C179" s="23"/>
      <c r="D179" s="24"/>
      <c r="E179" s="17"/>
      <c r="F179" s="82">
        <f>SUM(F180:F182)</f>
        <v>6300</v>
      </c>
      <c r="G179" s="89">
        <f t="shared" si="45"/>
        <v>0</v>
      </c>
      <c r="H179" s="18">
        <f t="shared" si="42"/>
        <v>6300</v>
      </c>
      <c r="I179" s="54">
        <f t="shared" ref="I179:Q179" si="55">SUM(I180:I182)</f>
        <v>0</v>
      </c>
      <c r="J179" s="55">
        <f t="shared" si="55"/>
        <v>6300</v>
      </c>
      <c r="K179" s="55">
        <f t="shared" si="55"/>
        <v>0</v>
      </c>
      <c r="L179" s="55">
        <f t="shared" si="55"/>
        <v>0</v>
      </c>
      <c r="M179" s="55">
        <f t="shared" si="55"/>
        <v>0</v>
      </c>
      <c r="N179" s="55">
        <f t="shared" si="55"/>
        <v>0</v>
      </c>
      <c r="O179" s="55">
        <f t="shared" si="55"/>
        <v>0</v>
      </c>
      <c r="P179" s="55">
        <f t="shared" si="55"/>
        <v>0</v>
      </c>
      <c r="Q179" s="56">
        <f t="shared" si="55"/>
        <v>0</v>
      </c>
      <c r="R179" s="33">
        <v>6000</v>
      </c>
      <c r="S179" s="33">
        <f>SUM(S180:S182)</f>
        <v>0</v>
      </c>
      <c r="T179" s="127">
        <f>S179*100/R179</f>
        <v>0</v>
      </c>
    </row>
    <row r="180" spans="1:20" outlineLevel="1" x14ac:dyDescent="0.25">
      <c r="A180" s="4" t="s">
        <v>174</v>
      </c>
      <c r="B180" s="75" t="s">
        <v>850</v>
      </c>
      <c r="C180" s="25" t="s">
        <v>847</v>
      </c>
      <c r="D180" s="92">
        <v>1</v>
      </c>
      <c r="E180" s="110">
        <v>2500</v>
      </c>
      <c r="F180" s="93">
        <f>D180*E180</f>
        <v>2500</v>
      </c>
      <c r="G180" s="74">
        <f t="shared" si="45"/>
        <v>0</v>
      </c>
      <c r="H180" s="95">
        <f t="shared" si="42"/>
        <v>2500</v>
      </c>
      <c r="I180" s="112"/>
      <c r="J180" s="57">
        <v>2500</v>
      </c>
      <c r="K180" s="57"/>
      <c r="L180" s="57"/>
      <c r="M180" s="57"/>
      <c r="N180" s="57"/>
      <c r="O180" s="57"/>
      <c r="P180" s="68"/>
      <c r="Q180" s="58"/>
      <c r="R180" s="76"/>
      <c r="S180" s="76"/>
      <c r="T180" s="128"/>
    </row>
    <row r="181" spans="1:20" outlineLevel="1" x14ac:dyDescent="0.25">
      <c r="A181" s="4" t="s">
        <v>175</v>
      </c>
      <c r="B181" s="75" t="s">
        <v>851</v>
      </c>
      <c r="C181" s="25" t="s">
        <v>848</v>
      </c>
      <c r="D181" s="92">
        <v>1</v>
      </c>
      <c r="E181" s="110">
        <v>2300</v>
      </c>
      <c r="F181" s="93">
        <f>D181*E181</f>
        <v>2300</v>
      </c>
      <c r="G181" s="74">
        <f t="shared" si="45"/>
        <v>0</v>
      </c>
      <c r="H181" s="95">
        <f t="shared" si="42"/>
        <v>2300</v>
      </c>
      <c r="I181" s="112"/>
      <c r="J181" s="57">
        <v>2300</v>
      </c>
      <c r="K181" s="57"/>
      <c r="L181" s="57"/>
      <c r="M181" s="57"/>
      <c r="N181" s="57"/>
      <c r="O181" s="57"/>
      <c r="P181" s="68"/>
      <c r="Q181" s="58"/>
      <c r="R181" s="76"/>
      <c r="S181" s="76"/>
      <c r="T181" s="128"/>
    </row>
    <row r="182" spans="1:20" outlineLevel="1" x14ac:dyDescent="0.25">
      <c r="A182" s="4" t="s">
        <v>176</v>
      </c>
      <c r="B182" s="75" t="s">
        <v>995</v>
      </c>
      <c r="C182" s="25" t="s">
        <v>849</v>
      </c>
      <c r="D182" s="92">
        <v>1</v>
      </c>
      <c r="E182" s="110">
        <v>1500</v>
      </c>
      <c r="F182" s="93">
        <f>D182*E182</f>
        <v>1500</v>
      </c>
      <c r="G182" s="74">
        <f t="shared" si="45"/>
        <v>0</v>
      </c>
      <c r="H182" s="95">
        <f t="shared" si="42"/>
        <v>1500</v>
      </c>
      <c r="I182" s="112"/>
      <c r="J182" s="57">
        <v>1500</v>
      </c>
      <c r="K182" s="57"/>
      <c r="L182" s="57"/>
      <c r="M182" s="57"/>
      <c r="N182" s="57"/>
      <c r="O182" s="57"/>
      <c r="P182" s="68"/>
      <c r="Q182" s="58"/>
      <c r="R182" s="76"/>
      <c r="S182" s="76"/>
      <c r="T182" s="128"/>
    </row>
    <row r="183" spans="1:20" s="3" customFormat="1" ht="15.75" x14ac:dyDescent="0.25">
      <c r="A183" s="7" t="s">
        <v>178</v>
      </c>
      <c r="B183" s="13" t="s">
        <v>314</v>
      </c>
      <c r="C183" s="23"/>
      <c r="D183" s="24"/>
      <c r="E183" s="17"/>
      <c r="F183" s="82">
        <f>SUM(F184:F185)</f>
        <v>8800</v>
      </c>
      <c r="G183" s="89">
        <f t="shared" si="45"/>
        <v>0</v>
      </c>
      <c r="H183" s="18">
        <f t="shared" si="42"/>
        <v>8800</v>
      </c>
      <c r="I183" s="54">
        <f t="shared" ref="I183:Q183" si="56">SUM(I184:I185)</f>
        <v>0</v>
      </c>
      <c r="J183" s="55">
        <f t="shared" si="56"/>
        <v>8800</v>
      </c>
      <c r="K183" s="55">
        <f t="shared" si="56"/>
        <v>0</v>
      </c>
      <c r="L183" s="55">
        <f t="shared" si="56"/>
        <v>0</v>
      </c>
      <c r="M183" s="55">
        <f t="shared" si="56"/>
        <v>0</v>
      </c>
      <c r="N183" s="55">
        <f t="shared" si="56"/>
        <v>0</v>
      </c>
      <c r="O183" s="55">
        <f t="shared" si="56"/>
        <v>0</v>
      </c>
      <c r="P183" s="55">
        <f t="shared" si="56"/>
        <v>0</v>
      </c>
      <c r="Q183" s="56">
        <f t="shared" si="56"/>
        <v>0</v>
      </c>
      <c r="R183" s="33">
        <v>8000</v>
      </c>
      <c r="S183" s="33">
        <f>SUM(S184:S185)</f>
        <v>0</v>
      </c>
      <c r="T183" s="127">
        <f>S183*100/R183</f>
        <v>0</v>
      </c>
    </row>
    <row r="184" spans="1:20" outlineLevel="1" x14ac:dyDescent="0.25">
      <c r="A184" s="4" t="s">
        <v>180</v>
      </c>
      <c r="B184" s="75" t="s">
        <v>853</v>
      </c>
      <c r="C184" s="25" t="s">
        <v>852</v>
      </c>
      <c r="D184" s="92">
        <v>1</v>
      </c>
      <c r="E184" s="110">
        <v>8800</v>
      </c>
      <c r="F184" s="93">
        <f>D184*E184</f>
        <v>8800</v>
      </c>
      <c r="G184" s="74">
        <f t="shared" si="45"/>
        <v>0</v>
      </c>
      <c r="H184" s="95">
        <f t="shared" si="42"/>
        <v>8800</v>
      </c>
      <c r="I184" s="112"/>
      <c r="J184" s="57">
        <v>8800</v>
      </c>
      <c r="K184" s="57"/>
      <c r="L184" s="57"/>
      <c r="M184" s="57"/>
      <c r="N184" s="57"/>
      <c r="O184" s="57"/>
      <c r="P184" s="68"/>
      <c r="Q184" s="58"/>
      <c r="R184" s="76"/>
      <c r="S184" s="76"/>
      <c r="T184" s="128"/>
    </row>
    <row r="185" spans="1:20" outlineLevel="1" x14ac:dyDescent="0.25">
      <c r="A185" s="4" t="s">
        <v>181</v>
      </c>
      <c r="B185" s="75" t="s">
        <v>47</v>
      </c>
      <c r="C185" s="25"/>
      <c r="D185" s="92"/>
      <c r="E185" s="110"/>
      <c r="F185" s="93">
        <f>D185*E185</f>
        <v>0</v>
      </c>
      <c r="G185" s="74">
        <f t="shared" si="45"/>
        <v>0</v>
      </c>
      <c r="H185" s="95">
        <f t="shared" si="42"/>
        <v>0</v>
      </c>
      <c r="I185" s="112"/>
      <c r="J185" s="57"/>
      <c r="K185" s="57"/>
      <c r="L185" s="57"/>
      <c r="M185" s="57"/>
      <c r="N185" s="57"/>
      <c r="O185" s="57"/>
      <c r="P185" s="68"/>
      <c r="Q185" s="58"/>
      <c r="R185" s="76"/>
      <c r="S185" s="76"/>
      <c r="T185" s="128"/>
    </row>
    <row r="186" spans="1:20" s="3" customFormat="1" ht="15.75" x14ac:dyDescent="0.25">
      <c r="A186" s="7" t="s">
        <v>182</v>
      </c>
      <c r="B186" s="13" t="s">
        <v>315</v>
      </c>
      <c r="C186" s="23"/>
      <c r="D186" s="24"/>
      <c r="E186" s="17"/>
      <c r="F186" s="82">
        <f>SUM(F187:F188)</f>
        <v>10000</v>
      </c>
      <c r="G186" s="89">
        <f t="shared" si="45"/>
        <v>0</v>
      </c>
      <c r="H186" s="18">
        <f t="shared" si="42"/>
        <v>10000</v>
      </c>
      <c r="I186" s="54">
        <f t="shared" ref="I186:Q186" si="57">SUM(I187:I188)</f>
        <v>0</v>
      </c>
      <c r="J186" s="55">
        <f t="shared" si="57"/>
        <v>5160</v>
      </c>
      <c r="K186" s="55">
        <f t="shared" si="57"/>
        <v>4840</v>
      </c>
      <c r="L186" s="55">
        <f t="shared" si="57"/>
        <v>0</v>
      </c>
      <c r="M186" s="55">
        <f t="shared" si="57"/>
        <v>0</v>
      </c>
      <c r="N186" s="55">
        <f t="shared" si="57"/>
        <v>0</v>
      </c>
      <c r="O186" s="55">
        <f t="shared" si="57"/>
        <v>0</v>
      </c>
      <c r="P186" s="55">
        <f t="shared" si="57"/>
        <v>0</v>
      </c>
      <c r="Q186" s="56">
        <f t="shared" si="57"/>
        <v>0</v>
      </c>
      <c r="R186" s="33"/>
      <c r="S186" s="33">
        <f>SUM(S187:S188)</f>
        <v>0</v>
      </c>
      <c r="T186" s="127"/>
    </row>
    <row r="187" spans="1:20" outlineLevel="1" x14ac:dyDescent="0.25">
      <c r="A187" s="4" t="s">
        <v>184</v>
      </c>
      <c r="B187" s="75" t="s">
        <v>854</v>
      </c>
      <c r="C187" s="25"/>
      <c r="D187" s="92">
        <v>1</v>
      </c>
      <c r="E187" s="110">
        <v>10000</v>
      </c>
      <c r="F187" s="93">
        <f>D187*E187</f>
        <v>10000</v>
      </c>
      <c r="G187" s="74">
        <f t="shared" si="45"/>
        <v>0</v>
      </c>
      <c r="H187" s="95">
        <f t="shared" si="42"/>
        <v>10000</v>
      </c>
      <c r="I187" s="112"/>
      <c r="J187" s="57">
        <f>5667-507</f>
        <v>5160</v>
      </c>
      <c r="K187" s="57">
        <v>4840</v>
      </c>
      <c r="L187" s="57"/>
      <c r="M187" s="57"/>
      <c r="N187" s="57"/>
      <c r="O187" s="57"/>
      <c r="P187" s="68"/>
      <c r="Q187" s="58"/>
      <c r="R187" s="76"/>
      <c r="S187" s="76"/>
      <c r="T187" s="128"/>
    </row>
    <row r="188" spans="1:20" outlineLevel="1" x14ac:dyDescent="0.25">
      <c r="A188" s="4" t="s">
        <v>185</v>
      </c>
      <c r="B188" s="75" t="s">
        <v>47</v>
      </c>
      <c r="C188" s="25"/>
      <c r="D188" s="92"/>
      <c r="E188" s="110"/>
      <c r="F188" s="93"/>
      <c r="G188" s="74">
        <f t="shared" si="45"/>
        <v>0</v>
      </c>
      <c r="H188" s="95">
        <f t="shared" si="42"/>
        <v>0</v>
      </c>
      <c r="I188" s="112"/>
      <c r="J188" s="57"/>
      <c r="K188" s="57"/>
      <c r="L188" s="57"/>
      <c r="M188" s="57"/>
      <c r="N188" s="57"/>
      <c r="O188" s="57"/>
      <c r="P188" s="68"/>
      <c r="Q188" s="58"/>
      <c r="R188" s="76"/>
      <c r="S188" s="76"/>
      <c r="T188" s="128"/>
    </row>
    <row r="189" spans="1:20" s="3" customFormat="1" ht="15.75" x14ac:dyDescent="0.25">
      <c r="A189" s="7" t="s">
        <v>187</v>
      </c>
      <c r="B189" s="13" t="s">
        <v>227</v>
      </c>
      <c r="C189" s="23"/>
      <c r="D189" s="24"/>
      <c r="E189" s="17"/>
      <c r="F189" s="82">
        <f>SUM(F190:F194)</f>
        <v>30300</v>
      </c>
      <c r="G189" s="89">
        <f t="shared" si="45"/>
        <v>9700</v>
      </c>
      <c r="H189" s="18">
        <f t="shared" ref="H189:H251" si="58">SUM(I189:Q189)</f>
        <v>40000</v>
      </c>
      <c r="I189" s="54">
        <f t="shared" ref="I189:Q189" si="59">SUM(I190:I194)</f>
        <v>0</v>
      </c>
      <c r="J189" s="55">
        <f t="shared" si="59"/>
        <v>40000</v>
      </c>
      <c r="K189" s="55">
        <f t="shared" si="59"/>
        <v>0</v>
      </c>
      <c r="L189" s="55">
        <f t="shared" si="59"/>
        <v>0</v>
      </c>
      <c r="M189" s="55">
        <f t="shared" si="59"/>
        <v>0</v>
      </c>
      <c r="N189" s="55">
        <f t="shared" si="59"/>
        <v>0</v>
      </c>
      <c r="O189" s="55">
        <f t="shared" si="59"/>
        <v>0</v>
      </c>
      <c r="P189" s="55">
        <f t="shared" si="59"/>
        <v>0</v>
      </c>
      <c r="Q189" s="56">
        <f t="shared" si="59"/>
        <v>0</v>
      </c>
      <c r="R189" s="33">
        <v>54000</v>
      </c>
      <c r="S189" s="33">
        <f>5023.84+83.5+1130.03+2048.06+2801.28+13087.23</f>
        <v>24173.940000000002</v>
      </c>
      <c r="T189" s="127">
        <f>S189*100/R189</f>
        <v>44.766555555555556</v>
      </c>
    </row>
    <row r="190" spans="1:20" outlineLevel="1" x14ac:dyDescent="0.25">
      <c r="A190" s="4" t="s">
        <v>189</v>
      </c>
      <c r="B190" s="75" t="s">
        <v>929</v>
      </c>
      <c r="C190" s="25"/>
      <c r="D190" s="92">
        <v>1</v>
      </c>
      <c r="E190" s="110">
        <v>1200</v>
      </c>
      <c r="F190" s="93">
        <f>D190*E190</f>
        <v>1200</v>
      </c>
      <c r="G190" s="74">
        <f t="shared" si="45"/>
        <v>0</v>
      </c>
      <c r="H190" s="95">
        <f t="shared" si="58"/>
        <v>1200</v>
      </c>
      <c r="I190" s="112"/>
      <c r="J190" s="57">
        <v>1200</v>
      </c>
      <c r="K190" s="57"/>
      <c r="L190" s="57"/>
      <c r="M190" s="57"/>
      <c r="N190" s="57"/>
      <c r="O190" s="57"/>
      <c r="P190" s="68"/>
      <c r="Q190" s="58"/>
      <c r="R190" s="76"/>
      <c r="S190" s="76"/>
      <c r="T190" s="128"/>
    </row>
    <row r="191" spans="1:20" outlineLevel="1" x14ac:dyDescent="0.25">
      <c r="A191" s="4" t="s">
        <v>190</v>
      </c>
      <c r="B191" s="75" t="s">
        <v>930</v>
      </c>
      <c r="C191" s="25"/>
      <c r="D191" s="92">
        <v>1</v>
      </c>
      <c r="E191" s="110">
        <v>24000</v>
      </c>
      <c r="F191" s="93">
        <f>D191*E191</f>
        <v>24000</v>
      </c>
      <c r="G191" s="74">
        <f t="shared" si="45"/>
        <v>9700</v>
      </c>
      <c r="H191" s="95">
        <f t="shared" si="58"/>
        <v>33700</v>
      </c>
      <c r="I191" s="112"/>
      <c r="J191" s="57">
        <f>24000+9700</f>
        <v>33700</v>
      </c>
      <c r="K191" s="57"/>
      <c r="L191" s="57"/>
      <c r="M191" s="57"/>
      <c r="N191" s="57"/>
      <c r="O191" s="57"/>
      <c r="P191" s="68"/>
      <c r="Q191" s="58"/>
      <c r="R191" s="76"/>
      <c r="S191" s="76"/>
      <c r="T191" s="128"/>
    </row>
    <row r="192" spans="1:20" outlineLevel="1" x14ac:dyDescent="0.25">
      <c r="A192" s="4" t="s">
        <v>191</v>
      </c>
      <c r="B192" s="75" t="s">
        <v>931</v>
      </c>
      <c r="C192" s="25"/>
      <c r="D192" s="92">
        <v>1</v>
      </c>
      <c r="E192" s="110">
        <v>3000</v>
      </c>
      <c r="F192" s="93">
        <f>D192*E192</f>
        <v>3000</v>
      </c>
      <c r="G192" s="74">
        <f t="shared" si="45"/>
        <v>0</v>
      </c>
      <c r="H192" s="95">
        <f t="shared" si="58"/>
        <v>3000</v>
      </c>
      <c r="I192" s="112"/>
      <c r="J192" s="57">
        <v>3000</v>
      </c>
      <c r="K192" s="57"/>
      <c r="L192" s="57"/>
      <c r="M192" s="57"/>
      <c r="N192" s="57"/>
      <c r="O192" s="57"/>
      <c r="P192" s="68"/>
      <c r="Q192" s="58"/>
      <c r="R192" s="76"/>
      <c r="S192" s="76"/>
      <c r="T192" s="128"/>
    </row>
    <row r="193" spans="1:20" outlineLevel="1" x14ac:dyDescent="0.25">
      <c r="A193" s="4" t="s">
        <v>192</v>
      </c>
      <c r="B193" s="75" t="s">
        <v>932</v>
      </c>
      <c r="C193" s="25"/>
      <c r="D193" s="92">
        <v>1</v>
      </c>
      <c r="E193" s="110">
        <v>2100</v>
      </c>
      <c r="F193" s="93">
        <f>D193*E193</f>
        <v>2100</v>
      </c>
      <c r="G193" s="74">
        <f t="shared" si="45"/>
        <v>0</v>
      </c>
      <c r="H193" s="95">
        <f t="shared" si="58"/>
        <v>2100</v>
      </c>
      <c r="I193" s="112"/>
      <c r="J193" s="57">
        <v>2100</v>
      </c>
      <c r="K193" s="57"/>
      <c r="L193" s="57"/>
      <c r="M193" s="57"/>
      <c r="N193" s="57"/>
      <c r="O193" s="57"/>
      <c r="P193" s="68"/>
      <c r="Q193" s="58"/>
      <c r="R193" s="76"/>
      <c r="S193" s="76"/>
      <c r="T193" s="128"/>
    </row>
    <row r="194" spans="1:20" outlineLevel="1" x14ac:dyDescent="0.25">
      <c r="A194" s="4" t="s">
        <v>193</v>
      </c>
      <c r="B194" s="75" t="s">
        <v>47</v>
      </c>
      <c r="C194" s="25"/>
      <c r="D194" s="92"/>
      <c r="E194" s="110"/>
      <c r="F194" s="93">
        <f>D194*E194</f>
        <v>0</v>
      </c>
      <c r="G194" s="94">
        <f t="shared" si="45"/>
        <v>0</v>
      </c>
      <c r="H194" s="95">
        <f t="shared" si="58"/>
        <v>0</v>
      </c>
      <c r="I194" s="112"/>
      <c r="J194" s="57"/>
      <c r="K194" s="57"/>
      <c r="L194" s="57"/>
      <c r="M194" s="57"/>
      <c r="N194" s="57"/>
      <c r="O194" s="57"/>
      <c r="P194" s="68"/>
      <c r="Q194" s="58"/>
      <c r="R194" s="76"/>
      <c r="S194" s="76"/>
      <c r="T194" s="128"/>
    </row>
    <row r="195" spans="1:20" s="3" customFormat="1" ht="15.75" x14ac:dyDescent="0.25">
      <c r="A195" s="7" t="s">
        <v>194</v>
      </c>
      <c r="B195" s="13" t="s">
        <v>317</v>
      </c>
      <c r="C195" s="23"/>
      <c r="D195" s="24"/>
      <c r="E195" s="17"/>
      <c r="F195" s="82">
        <f>SUM(F196:F200)</f>
        <v>4389</v>
      </c>
      <c r="G195" s="89">
        <f t="shared" si="45"/>
        <v>0</v>
      </c>
      <c r="H195" s="18">
        <f t="shared" si="58"/>
        <v>4389</v>
      </c>
      <c r="I195" s="54">
        <f t="shared" ref="I195:Q195" si="60">SUM(I196:I200)</f>
        <v>0</v>
      </c>
      <c r="J195" s="55">
        <f t="shared" si="60"/>
        <v>4389</v>
      </c>
      <c r="K195" s="55">
        <f t="shared" si="60"/>
        <v>0</v>
      </c>
      <c r="L195" s="55">
        <f t="shared" si="60"/>
        <v>0</v>
      </c>
      <c r="M195" s="55">
        <f t="shared" si="60"/>
        <v>0</v>
      </c>
      <c r="N195" s="55">
        <f t="shared" si="60"/>
        <v>0</v>
      </c>
      <c r="O195" s="55">
        <f t="shared" si="60"/>
        <v>0</v>
      </c>
      <c r="P195" s="55">
        <f t="shared" si="60"/>
        <v>0</v>
      </c>
      <c r="Q195" s="56">
        <f t="shared" si="60"/>
        <v>0</v>
      </c>
      <c r="R195" s="33">
        <v>4000</v>
      </c>
      <c r="S195" s="33">
        <f>SUM(S196:S200)</f>
        <v>0</v>
      </c>
      <c r="T195" s="127">
        <f>S195*100/R195</f>
        <v>0</v>
      </c>
    </row>
    <row r="196" spans="1:20" outlineLevel="1" x14ac:dyDescent="0.25">
      <c r="A196" s="4" t="s">
        <v>196</v>
      </c>
      <c r="B196" s="75" t="s">
        <v>320</v>
      </c>
      <c r="C196" s="25"/>
      <c r="D196" s="92">
        <v>1</v>
      </c>
      <c r="E196" s="110">
        <v>0</v>
      </c>
      <c r="F196" s="93">
        <f>D196*E196</f>
        <v>0</v>
      </c>
      <c r="G196" s="74">
        <f t="shared" si="45"/>
        <v>0</v>
      </c>
      <c r="H196" s="95">
        <f t="shared" si="58"/>
        <v>0</v>
      </c>
      <c r="I196" s="112"/>
      <c r="J196" s="57">
        <v>0</v>
      </c>
      <c r="K196" s="57"/>
      <c r="L196" s="57"/>
      <c r="M196" s="57"/>
      <c r="N196" s="57"/>
      <c r="O196" s="57"/>
      <c r="P196" s="68"/>
      <c r="Q196" s="58"/>
      <c r="R196" s="76"/>
      <c r="S196" s="76"/>
      <c r="T196" s="128"/>
    </row>
    <row r="197" spans="1:20" outlineLevel="1" x14ac:dyDescent="0.25">
      <c r="A197" s="4" t="s">
        <v>197</v>
      </c>
      <c r="B197" s="75" t="s">
        <v>318</v>
      </c>
      <c r="C197" s="25"/>
      <c r="D197" s="92">
        <v>1</v>
      </c>
      <c r="E197" s="110">
        <v>2759</v>
      </c>
      <c r="F197" s="93">
        <f>D197*E197</f>
        <v>2759</v>
      </c>
      <c r="G197" s="74">
        <f t="shared" si="45"/>
        <v>0</v>
      </c>
      <c r="H197" s="95">
        <f t="shared" si="58"/>
        <v>2759</v>
      </c>
      <c r="I197" s="112"/>
      <c r="J197" s="57">
        <v>2759</v>
      </c>
      <c r="K197" s="57"/>
      <c r="L197" s="57"/>
      <c r="M197" s="57"/>
      <c r="N197" s="57"/>
      <c r="O197" s="57"/>
      <c r="P197" s="68"/>
      <c r="Q197" s="58"/>
      <c r="R197" s="76"/>
      <c r="S197" s="76"/>
      <c r="T197" s="128"/>
    </row>
    <row r="198" spans="1:20" outlineLevel="1" x14ac:dyDescent="0.25">
      <c r="A198" s="4" t="s">
        <v>198</v>
      </c>
      <c r="B198" s="75" t="s">
        <v>319</v>
      </c>
      <c r="C198" s="25"/>
      <c r="D198" s="92">
        <v>1</v>
      </c>
      <c r="E198" s="110">
        <v>1630</v>
      </c>
      <c r="F198" s="93">
        <f>D198*E198</f>
        <v>1630</v>
      </c>
      <c r="G198" s="74">
        <f t="shared" si="45"/>
        <v>0</v>
      </c>
      <c r="H198" s="95">
        <f t="shared" si="58"/>
        <v>1630</v>
      </c>
      <c r="I198" s="112"/>
      <c r="J198" s="57">
        <v>1630</v>
      </c>
      <c r="K198" s="57"/>
      <c r="L198" s="57"/>
      <c r="M198" s="57"/>
      <c r="N198" s="57"/>
      <c r="O198" s="57"/>
      <c r="P198" s="68"/>
      <c r="Q198" s="58"/>
      <c r="R198" s="76"/>
      <c r="S198" s="76"/>
      <c r="T198" s="128"/>
    </row>
    <row r="199" spans="1:20" outlineLevel="1" x14ac:dyDescent="0.25">
      <c r="A199" s="4" t="s">
        <v>199</v>
      </c>
      <c r="B199" s="75" t="s">
        <v>321</v>
      </c>
      <c r="C199" s="25"/>
      <c r="D199" s="92">
        <v>1</v>
      </c>
      <c r="E199" s="110">
        <v>0</v>
      </c>
      <c r="F199" s="93">
        <f>D199*E199</f>
        <v>0</v>
      </c>
      <c r="G199" s="74">
        <f t="shared" si="45"/>
        <v>0</v>
      </c>
      <c r="H199" s="95">
        <f t="shared" si="58"/>
        <v>0</v>
      </c>
      <c r="I199" s="112"/>
      <c r="J199" s="57"/>
      <c r="K199" s="57"/>
      <c r="L199" s="57"/>
      <c r="M199" s="57"/>
      <c r="N199" s="57"/>
      <c r="O199" s="57"/>
      <c r="P199" s="68"/>
      <c r="Q199" s="58"/>
      <c r="R199" s="76"/>
      <c r="S199" s="76"/>
      <c r="T199" s="128"/>
    </row>
    <row r="200" spans="1:20" outlineLevel="1" x14ac:dyDescent="0.25">
      <c r="A200" s="4" t="s">
        <v>200</v>
      </c>
      <c r="B200" s="75" t="s">
        <v>47</v>
      </c>
      <c r="C200" s="25"/>
      <c r="D200" s="92">
        <v>1</v>
      </c>
      <c r="E200" s="110">
        <v>0</v>
      </c>
      <c r="F200" s="93">
        <f>D200*E200</f>
        <v>0</v>
      </c>
      <c r="G200" s="74">
        <f t="shared" ref="G200:G263" si="61">H200-F200</f>
        <v>0</v>
      </c>
      <c r="H200" s="95">
        <f t="shared" si="58"/>
        <v>0</v>
      </c>
      <c r="I200" s="112"/>
      <c r="J200" s="57"/>
      <c r="K200" s="57"/>
      <c r="L200" s="57"/>
      <c r="M200" s="57"/>
      <c r="N200" s="57"/>
      <c r="O200" s="57"/>
      <c r="P200" s="68"/>
      <c r="Q200" s="58"/>
      <c r="R200" s="76"/>
      <c r="S200" s="76"/>
      <c r="T200" s="128"/>
    </row>
    <row r="201" spans="1:20" s="3" customFormat="1" ht="15.75" x14ac:dyDescent="0.25">
      <c r="A201" s="7" t="s">
        <v>201</v>
      </c>
      <c r="B201" s="13" t="s">
        <v>322</v>
      </c>
      <c r="C201" s="23"/>
      <c r="D201" s="24"/>
      <c r="E201" s="17"/>
      <c r="F201" s="82">
        <f>SUM(F202:F204)</f>
        <v>0</v>
      </c>
      <c r="G201" s="89">
        <f t="shared" si="61"/>
        <v>0</v>
      </c>
      <c r="H201" s="18">
        <f t="shared" si="58"/>
        <v>0</v>
      </c>
      <c r="I201" s="54">
        <f t="shared" ref="I201:Q201" si="62">SUM(I202:I204)</f>
        <v>0</v>
      </c>
      <c r="J201" s="55">
        <f t="shared" si="62"/>
        <v>0</v>
      </c>
      <c r="K201" s="55">
        <f t="shared" si="62"/>
        <v>0</v>
      </c>
      <c r="L201" s="55">
        <f t="shared" si="62"/>
        <v>0</v>
      </c>
      <c r="M201" s="55">
        <f t="shared" si="62"/>
        <v>0</v>
      </c>
      <c r="N201" s="55">
        <f t="shared" si="62"/>
        <v>0</v>
      </c>
      <c r="O201" s="55">
        <f t="shared" si="62"/>
        <v>0</v>
      </c>
      <c r="P201" s="55">
        <f t="shared" si="62"/>
        <v>0</v>
      </c>
      <c r="Q201" s="56">
        <f t="shared" si="62"/>
        <v>0</v>
      </c>
      <c r="R201" s="33"/>
      <c r="S201" s="33">
        <f>SUM(S202:S204)</f>
        <v>0</v>
      </c>
      <c r="T201" s="127"/>
    </row>
    <row r="202" spans="1:20" outlineLevel="1" x14ac:dyDescent="0.25">
      <c r="A202" s="4" t="s">
        <v>184</v>
      </c>
      <c r="B202" s="75" t="s">
        <v>323</v>
      </c>
      <c r="C202" s="25"/>
      <c r="D202" s="92"/>
      <c r="E202" s="110"/>
      <c r="F202" s="93">
        <f>D202*E202</f>
        <v>0</v>
      </c>
      <c r="G202" s="74">
        <f t="shared" si="61"/>
        <v>0</v>
      </c>
      <c r="H202" s="95">
        <f t="shared" si="58"/>
        <v>0</v>
      </c>
      <c r="I202" s="112"/>
      <c r="J202" s="57"/>
      <c r="K202" s="57"/>
      <c r="L202" s="57"/>
      <c r="M202" s="57"/>
      <c r="N202" s="57"/>
      <c r="O202" s="57"/>
      <c r="P202" s="68"/>
      <c r="Q202" s="58"/>
      <c r="R202" s="76"/>
      <c r="S202" s="76"/>
      <c r="T202" s="128"/>
    </row>
    <row r="203" spans="1:20" outlineLevel="1" x14ac:dyDescent="0.25">
      <c r="A203" s="4" t="s">
        <v>185</v>
      </c>
      <c r="B203" s="75" t="s">
        <v>324</v>
      </c>
      <c r="C203" s="25"/>
      <c r="D203" s="92"/>
      <c r="E203" s="110"/>
      <c r="F203" s="93">
        <f>D203*E203</f>
        <v>0</v>
      </c>
      <c r="G203" s="74">
        <f t="shared" si="61"/>
        <v>0</v>
      </c>
      <c r="H203" s="95">
        <f t="shared" si="58"/>
        <v>0</v>
      </c>
      <c r="I203" s="112"/>
      <c r="J203" s="57"/>
      <c r="K203" s="57"/>
      <c r="L203" s="57"/>
      <c r="M203" s="57"/>
      <c r="N203" s="57"/>
      <c r="O203" s="57"/>
      <c r="P203" s="68"/>
      <c r="Q203" s="58"/>
      <c r="R203" s="76"/>
      <c r="S203" s="76"/>
      <c r="T203" s="128"/>
    </row>
    <row r="204" spans="1:20" outlineLevel="1" x14ac:dyDescent="0.25">
      <c r="A204" s="4" t="s">
        <v>186</v>
      </c>
      <c r="B204" s="75" t="s">
        <v>47</v>
      </c>
      <c r="C204" s="25"/>
      <c r="D204" s="92"/>
      <c r="E204" s="110"/>
      <c r="F204" s="93">
        <f>D204*E204</f>
        <v>0</v>
      </c>
      <c r="G204" s="74">
        <f t="shared" si="61"/>
        <v>0</v>
      </c>
      <c r="H204" s="95">
        <f t="shared" si="58"/>
        <v>0</v>
      </c>
      <c r="I204" s="112"/>
      <c r="J204" s="57"/>
      <c r="K204" s="57"/>
      <c r="L204" s="57"/>
      <c r="M204" s="57"/>
      <c r="N204" s="57"/>
      <c r="O204" s="57"/>
      <c r="P204" s="68"/>
      <c r="Q204" s="58"/>
      <c r="R204" s="76"/>
      <c r="S204" s="76"/>
      <c r="T204" s="128"/>
    </row>
    <row r="205" spans="1:20" s="3" customFormat="1" ht="15.75" x14ac:dyDescent="0.25">
      <c r="A205" s="7" t="s">
        <v>203</v>
      </c>
      <c r="B205" s="13" t="s">
        <v>495</v>
      </c>
      <c r="C205" s="23"/>
      <c r="D205" s="24"/>
      <c r="E205" s="17"/>
      <c r="F205" s="82">
        <f>SUM(F206:F206)</f>
        <v>44200</v>
      </c>
      <c r="G205" s="89">
        <f t="shared" si="61"/>
        <v>0</v>
      </c>
      <c r="H205" s="18">
        <f t="shared" si="58"/>
        <v>44200</v>
      </c>
      <c r="I205" s="54">
        <f t="shared" ref="I205:Q205" si="63">SUM(I206:I206)</f>
        <v>0</v>
      </c>
      <c r="J205" s="55">
        <f t="shared" si="63"/>
        <v>37700</v>
      </c>
      <c r="K205" s="55">
        <f t="shared" si="63"/>
        <v>0</v>
      </c>
      <c r="L205" s="55">
        <f t="shared" si="63"/>
        <v>0</v>
      </c>
      <c r="M205" s="55">
        <f t="shared" si="63"/>
        <v>0</v>
      </c>
      <c r="N205" s="55">
        <f t="shared" si="63"/>
        <v>0</v>
      </c>
      <c r="O205" s="55">
        <f t="shared" si="63"/>
        <v>0</v>
      </c>
      <c r="P205" s="55">
        <f t="shared" si="63"/>
        <v>6500</v>
      </c>
      <c r="Q205" s="56">
        <f t="shared" si="63"/>
        <v>0</v>
      </c>
      <c r="R205" s="33">
        <v>44200</v>
      </c>
      <c r="S205" s="33">
        <v>44200</v>
      </c>
      <c r="T205" s="127">
        <f>S205*100/R205</f>
        <v>100</v>
      </c>
    </row>
    <row r="206" spans="1:20" outlineLevel="1" x14ac:dyDescent="0.25">
      <c r="A206" s="4" t="s">
        <v>205</v>
      </c>
      <c r="B206" s="75" t="s">
        <v>495</v>
      </c>
      <c r="C206" s="25" t="s">
        <v>933</v>
      </c>
      <c r="D206" s="92">
        <v>1</v>
      </c>
      <c r="E206" s="110">
        <f>34200+10000</f>
        <v>44200</v>
      </c>
      <c r="F206" s="93">
        <f>D206*E206</f>
        <v>44200</v>
      </c>
      <c r="G206" s="74">
        <f t="shared" si="61"/>
        <v>0</v>
      </c>
      <c r="H206" s="95">
        <f t="shared" si="58"/>
        <v>44200</v>
      </c>
      <c r="I206" s="112"/>
      <c r="J206" s="57">
        <f>44200-6500</f>
        <v>37700</v>
      </c>
      <c r="K206" s="57"/>
      <c r="L206" s="57"/>
      <c r="M206" s="57"/>
      <c r="N206" s="57"/>
      <c r="O206" s="57"/>
      <c r="P206" s="68">
        <v>6500</v>
      </c>
      <c r="Q206" s="58"/>
      <c r="R206" s="76"/>
      <c r="S206" s="76"/>
      <c r="T206" s="128"/>
    </row>
    <row r="207" spans="1:20" s="2" customFormat="1" ht="21" x14ac:dyDescent="0.35">
      <c r="A207" s="8" t="s">
        <v>209</v>
      </c>
      <c r="B207" s="12" t="s">
        <v>588</v>
      </c>
      <c r="C207" s="21"/>
      <c r="D207" s="22"/>
      <c r="E207" s="15"/>
      <c r="F207" s="84">
        <f>F208+F221+F226</f>
        <v>40290</v>
      </c>
      <c r="G207" s="89">
        <f t="shared" si="61"/>
        <v>0</v>
      </c>
      <c r="H207" s="16">
        <f t="shared" si="58"/>
        <v>40290</v>
      </c>
      <c r="I207" s="51">
        <f t="shared" ref="I207:S207" si="64">I208+I221+I226</f>
        <v>0</v>
      </c>
      <c r="J207" s="51">
        <f t="shared" si="64"/>
        <v>16700</v>
      </c>
      <c r="K207" s="51">
        <f t="shared" si="64"/>
        <v>0</v>
      </c>
      <c r="L207" s="51">
        <f t="shared" si="64"/>
        <v>0</v>
      </c>
      <c r="M207" s="51">
        <f t="shared" si="64"/>
        <v>0</v>
      </c>
      <c r="N207" s="51">
        <f t="shared" si="64"/>
        <v>0</v>
      </c>
      <c r="O207" s="51">
        <f t="shared" si="64"/>
        <v>0</v>
      </c>
      <c r="P207" s="51">
        <f t="shared" si="64"/>
        <v>23590</v>
      </c>
      <c r="Q207" s="59">
        <f t="shared" si="64"/>
        <v>0</v>
      </c>
      <c r="R207" s="32">
        <f t="shared" si="64"/>
        <v>53900</v>
      </c>
      <c r="S207" s="32">
        <f t="shared" si="64"/>
        <v>36259.17</v>
      </c>
      <c r="T207" s="126">
        <f>S207*100/R207</f>
        <v>67.271187384044524</v>
      </c>
    </row>
    <row r="208" spans="1:20" s="3" customFormat="1" ht="15.75" x14ac:dyDescent="0.25">
      <c r="A208" s="7" t="s">
        <v>213</v>
      </c>
      <c r="B208" s="13" t="s">
        <v>905</v>
      </c>
      <c r="C208" s="23"/>
      <c r="D208" s="24"/>
      <c r="E208" s="17"/>
      <c r="F208" s="82">
        <f>SUM(F209:F220)</f>
        <v>30800</v>
      </c>
      <c r="G208" s="89">
        <f t="shared" si="61"/>
        <v>0</v>
      </c>
      <c r="H208" s="18">
        <f t="shared" si="58"/>
        <v>30800</v>
      </c>
      <c r="I208" s="54">
        <f t="shared" ref="I208:Q208" si="65">SUM(I209:I220)</f>
        <v>0</v>
      </c>
      <c r="J208" s="55">
        <f t="shared" si="65"/>
        <v>15800</v>
      </c>
      <c r="K208" s="55">
        <f t="shared" si="65"/>
        <v>0</v>
      </c>
      <c r="L208" s="55">
        <f t="shared" si="65"/>
        <v>0</v>
      </c>
      <c r="M208" s="55">
        <f t="shared" si="65"/>
        <v>0</v>
      </c>
      <c r="N208" s="55">
        <f t="shared" si="65"/>
        <v>0</v>
      </c>
      <c r="O208" s="55">
        <f t="shared" si="65"/>
        <v>0</v>
      </c>
      <c r="P208" s="55">
        <f t="shared" si="65"/>
        <v>15000</v>
      </c>
      <c r="Q208" s="56">
        <f t="shared" si="65"/>
        <v>0</v>
      </c>
      <c r="R208" s="33">
        <v>40000</v>
      </c>
      <c r="S208" s="33">
        <f>379.07+585.92+2810.54+450.61+47.6+128.76+697.4+10066.87+356.69+1004.91+3129.3+3306+1204.43+2139.51+397-170+5.4</f>
        <v>26540.010000000002</v>
      </c>
      <c r="T208" s="127">
        <f>S208*100/R208</f>
        <v>66.350025000000002</v>
      </c>
    </row>
    <row r="209" spans="1:20" outlineLevel="1" x14ac:dyDescent="0.25">
      <c r="A209" s="5" t="s">
        <v>214</v>
      </c>
      <c r="B209" s="75" t="s">
        <v>904</v>
      </c>
      <c r="C209" s="25"/>
      <c r="D209" s="92">
        <v>1</v>
      </c>
      <c r="E209" s="110">
        <v>8125</v>
      </c>
      <c r="F209" s="93">
        <f t="shared" ref="F209:F220" si="66">D209*E209</f>
        <v>8125</v>
      </c>
      <c r="G209" s="74">
        <f t="shared" si="61"/>
        <v>0</v>
      </c>
      <c r="H209" s="95">
        <f t="shared" si="58"/>
        <v>8125</v>
      </c>
      <c r="I209" s="112"/>
      <c r="J209" s="57">
        <v>8125</v>
      </c>
      <c r="K209" s="57"/>
      <c r="L209" s="57"/>
      <c r="M209" s="57"/>
      <c r="N209" s="57"/>
      <c r="O209" s="57"/>
      <c r="P209" s="68"/>
      <c r="Q209" s="58"/>
      <c r="R209" s="76"/>
      <c r="S209" s="76"/>
      <c r="T209" s="128"/>
    </row>
    <row r="210" spans="1:20" outlineLevel="1" x14ac:dyDescent="0.25">
      <c r="A210" s="4" t="s">
        <v>215</v>
      </c>
      <c r="B210" s="75" t="s">
        <v>909</v>
      </c>
      <c r="C210" s="25"/>
      <c r="D210" s="92">
        <v>1</v>
      </c>
      <c r="E210" s="110">
        <v>2800</v>
      </c>
      <c r="F210" s="93">
        <f t="shared" si="66"/>
        <v>2800</v>
      </c>
      <c r="G210" s="74">
        <f t="shared" ref="G210:G217" si="67">H210-F210</f>
        <v>0</v>
      </c>
      <c r="H210" s="95">
        <f t="shared" ref="H210:H217" si="68">SUM(I210:Q210)</f>
        <v>2800</v>
      </c>
      <c r="I210" s="112"/>
      <c r="J210" s="57">
        <v>2800</v>
      </c>
      <c r="K210" s="57"/>
      <c r="L210" s="57"/>
      <c r="M210" s="57"/>
      <c r="N210" s="57"/>
      <c r="O210" s="57"/>
      <c r="P210" s="68"/>
      <c r="Q210" s="58"/>
      <c r="R210" s="76"/>
      <c r="S210" s="76"/>
      <c r="T210" s="128"/>
    </row>
    <row r="211" spans="1:20" outlineLevel="1" x14ac:dyDescent="0.25">
      <c r="A211" s="4" t="s">
        <v>216</v>
      </c>
      <c r="B211" s="75" t="s">
        <v>910</v>
      </c>
      <c r="C211" s="25"/>
      <c r="D211" s="92">
        <v>1</v>
      </c>
      <c r="E211" s="110">
        <v>1000</v>
      </c>
      <c r="F211" s="93">
        <f t="shared" si="66"/>
        <v>1000</v>
      </c>
      <c r="G211" s="74">
        <f t="shared" si="67"/>
        <v>0</v>
      </c>
      <c r="H211" s="95">
        <f t="shared" si="68"/>
        <v>1000</v>
      </c>
      <c r="I211" s="112"/>
      <c r="J211" s="57">
        <v>1000</v>
      </c>
      <c r="K211" s="57"/>
      <c r="L211" s="57"/>
      <c r="M211" s="57"/>
      <c r="N211" s="57"/>
      <c r="O211" s="57"/>
      <c r="P211" s="68"/>
      <c r="Q211" s="58"/>
      <c r="R211" s="76"/>
      <c r="S211" s="76"/>
      <c r="T211" s="128"/>
    </row>
    <row r="212" spans="1:20" outlineLevel="1" x14ac:dyDescent="0.25">
      <c r="A212" s="4" t="s">
        <v>217</v>
      </c>
      <c r="B212" s="75" t="s">
        <v>911</v>
      </c>
      <c r="C212" s="25"/>
      <c r="D212" s="92">
        <v>1</v>
      </c>
      <c r="E212" s="110">
        <v>1000</v>
      </c>
      <c r="F212" s="93">
        <f t="shared" si="66"/>
        <v>1000</v>
      </c>
      <c r="G212" s="74">
        <f t="shared" si="67"/>
        <v>0</v>
      </c>
      <c r="H212" s="95">
        <f t="shared" si="68"/>
        <v>1000</v>
      </c>
      <c r="I212" s="112"/>
      <c r="J212" s="57">
        <v>1000</v>
      </c>
      <c r="K212" s="57"/>
      <c r="L212" s="57"/>
      <c r="M212" s="57"/>
      <c r="N212" s="57"/>
      <c r="O212" s="57"/>
      <c r="P212" s="68"/>
      <c r="Q212" s="58"/>
      <c r="R212" s="76"/>
      <c r="S212" s="76"/>
      <c r="T212" s="128"/>
    </row>
    <row r="213" spans="1:20" outlineLevel="1" x14ac:dyDescent="0.25">
      <c r="A213" s="4" t="s">
        <v>218</v>
      </c>
      <c r="B213" s="75" t="s">
        <v>915</v>
      </c>
      <c r="C213" s="25"/>
      <c r="D213" s="92">
        <v>1</v>
      </c>
      <c r="E213" s="110">
        <v>100</v>
      </c>
      <c r="F213" s="93">
        <f t="shared" si="66"/>
        <v>100</v>
      </c>
      <c r="G213" s="74">
        <f t="shared" si="67"/>
        <v>0</v>
      </c>
      <c r="H213" s="95">
        <f t="shared" si="68"/>
        <v>100</v>
      </c>
      <c r="I213" s="112"/>
      <c r="J213" s="57">
        <v>100</v>
      </c>
      <c r="K213" s="57"/>
      <c r="L213" s="57"/>
      <c r="M213" s="57"/>
      <c r="N213" s="57"/>
      <c r="O213" s="57"/>
      <c r="P213" s="68"/>
      <c r="Q213" s="58"/>
      <c r="R213" s="76"/>
      <c r="S213" s="76"/>
      <c r="T213" s="128"/>
    </row>
    <row r="214" spans="1:20" outlineLevel="1" x14ac:dyDescent="0.25">
      <c r="A214" s="4" t="s">
        <v>916</v>
      </c>
      <c r="B214" s="75" t="s">
        <v>954</v>
      </c>
      <c r="C214" s="25"/>
      <c r="D214" s="92">
        <v>1</v>
      </c>
      <c r="E214" s="110">
        <f>300+75+100</f>
        <v>475</v>
      </c>
      <c r="F214" s="93">
        <f t="shared" si="66"/>
        <v>475</v>
      </c>
      <c r="G214" s="74">
        <f t="shared" si="67"/>
        <v>0</v>
      </c>
      <c r="H214" s="95">
        <f t="shared" si="68"/>
        <v>475</v>
      </c>
      <c r="I214" s="112"/>
      <c r="J214" s="57">
        <v>475</v>
      </c>
      <c r="K214" s="57"/>
      <c r="L214" s="57"/>
      <c r="M214" s="57"/>
      <c r="N214" s="57"/>
      <c r="O214" s="57"/>
      <c r="P214" s="68"/>
      <c r="Q214" s="58"/>
      <c r="R214" s="76"/>
      <c r="S214" s="76"/>
      <c r="T214" s="128"/>
    </row>
    <row r="215" spans="1:20" outlineLevel="1" x14ac:dyDescent="0.25">
      <c r="A215" s="4" t="s">
        <v>917</v>
      </c>
      <c r="B215" s="75" t="s">
        <v>914</v>
      </c>
      <c r="C215" s="25"/>
      <c r="D215" s="92">
        <v>1</v>
      </c>
      <c r="E215" s="110">
        <v>500</v>
      </c>
      <c r="F215" s="93">
        <f t="shared" si="66"/>
        <v>500</v>
      </c>
      <c r="G215" s="74">
        <f t="shared" si="67"/>
        <v>0</v>
      </c>
      <c r="H215" s="95">
        <f t="shared" si="68"/>
        <v>500</v>
      </c>
      <c r="I215" s="112"/>
      <c r="J215" s="57">
        <v>500</v>
      </c>
      <c r="K215" s="57"/>
      <c r="L215" s="57"/>
      <c r="M215" s="57"/>
      <c r="N215" s="57"/>
      <c r="O215" s="57"/>
      <c r="P215" s="68"/>
      <c r="Q215" s="58"/>
      <c r="R215" s="76"/>
      <c r="S215" s="76"/>
      <c r="T215" s="128"/>
    </row>
    <row r="216" spans="1:20" outlineLevel="1" x14ac:dyDescent="0.25">
      <c r="A216" s="4" t="s">
        <v>918</v>
      </c>
      <c r="B216" s="75" t="s">
        <v>912</v>
      </c>
      <c r="C216" s="25"/>
      <c r="D216" s="92">
        <v>1</v>
      </c>
      <c r="E216" s="110">
        <v>800</v>
      </c>
      <c r="F216" s="93">
        <f t="shared" si="66"/>
        <v>800</v>
      </c>
      <c r="G216" s="74">
        <f t="shared" si="67"/>
        <v>0</v>
      </c>
      <c r="H216" s="95">
        <f t="shared" si="68"/>
        <v>800</v>
      </c>
      <c r="I216" s="112"/>
      <c r="J216" s="57">
        <v>800</v>
      </c>
      <c r="K216" s="57"/>
      <c r="L216" s="57"/>
      <c r="M216" s="57"/>
      <c r="N216" s="57"/>
      <c r="O216" s="57"/>
      <c r="P216" s="68"/>
      <c r="Q216" s="58"/>
      <c r="R216" s="76"/>
      <c r="S216" s="76"/>
      <c r="T216" s="128"/>
    </row>
    <row r="217" spans="1:20" outlineLevel="1" x14ac:dyDescent="0.25">
      <c r="A217" s="4" t="s">
        <v>919</v>
      </c>
      <c r="B217" s="75" t="s">
        <v>906</v>
      </c>
      <c r="C217" s="25"/>
      <c r="D217" s="92">
        <v>1</v>
      </c>
      <c r="E217" s="110">
        <v>8000</v>
      </c>
      <c r="F217" s="93">
        <f t="shared" si="66"/>
        <v>8000</v>
      </c>
      <c r="G217" s="74">
        <f t="shared" si="67"/>
        <v>0</v>
      </c>
      <c r="H217" s="95">
        <f t="shared" si="68"/>
        <v>8000</v>
      </c>
      <c r="I217" s="112"/>
      <c r="J217" s="57"/>
      <c r="K217" s="57"/>
      <c r="L217" s="57"/>
      <c r="M217" s="57"/>
      <c r="N217" s="57"/>
      <c r="O217" s="57"/>
      <c r="P217" s="68">
        <v>8000</v>
      </c>
      <c r="Q217" s="58"/>
      <c r="R217" s="76"/>
      <c r="S217" s="76"/>
      <c r="T217" s="128"/>
    </row>
    <row r="218" spans="1:20" outlineLevel="1" x14ac:dyDescent="0.25">
      <c r="A218" s="4" t="s">
        <v>920</v>
      </c>
      <c r="B218" s="75" t="s">
        <v>907</v>
      </c>
      <c r="C218" s="25"/>
      <c r="D218" s="92">
        <v>1</v>
      </c>
      <c r="E218" s="110">
        <v>3500</v>
      </c>
      <c r="F218" s="93">
        <f t="shared" si="66"/>
        <v>3500</v>
      </c>
      <c r="G218" s="74">
        <f t="shared" si="61"/>
        <v>0</v>
      </c>
      <c r="H218" s="95">
        <f t="shared" si="58"/>
        <v>3500</v>
      </c>
      <c r="I218" s="112"/>
      <c r="J218" s="57"/>
      <c r="K218" s="57"/>
      <c r="L218" s="57"/>
      <c r="M218" s="57"/>
      <c r="N218" s="57"/>
      <c r="O218" s="57"/>
      <c r="P218" s="68">
        <v>3500</v>
      </c>
      <c r="Q218" s="58"/>
      <c r="R218" s="76"/>
      <c r="S218" s="76"/>
      <c r="T218" s="128"/>
    </row>
    <row r="219" spans="1:20" outlineLevel="1" x14ac:dyDescent="0.25">
      <c r="A219" s="4" t="s">
        <v>921</v>
      </c>
      <c r="B219" s="75" t="s">
        <v>908</v>
      </c>
      <c r="C219" s="25"/>
      <c r="D219" s="92">
        <v>1</v>
      </c>
      <c r="E219" s="110">
        <v>3500</v>
      </c>
      <c r="F219" s="93">
        <f t="shared" si="66"/>
        <v>3500</v>
      </c>
      <c r="G219" s="74">
        <f t="shared" si="61"/>
        <v>0</v>
      </c>
      <c r="H219" s="95">
        <f t="shared" si="58"/>
        <v>3500</v>
      </c>
      <c r="I219" s="112"/>
      <c r="J219" s="57"/>
      <c r="K219" s="57"/>
      <c r="L219" s="57"/>
      <c r="M219" s="57"/>
      <c r="N219" s="57"/>
      <c r="O219" s="57"/>
      <c r="P219" s="68">
        <v>3500</v>
      </c>
      <c r="Q219" s="58"/>
      <c r="R219" s="76"/>
      <c r="S219" s="76"/>
      <c r="T219" s="128"/>
    </row>
    <row r="220" spans="1:20" outlineLevel="1" x14ac:dyDescent="0.25">
      <c r="A220" s="4" t="s">
        <v>922</v>
      </c>
      <c r="B220" s="75" t="s">
        <v>47</v>
      </c>
      <c r="C220" s="25"/>
      <c r="D220" s="92">
        <v>1</v>
      </c>
      <c r="E220" s="110">
        <v>1000</v>
      </c>
      <c r="F220" s="93">
        <f t="shared" si="66"/>
        <v>1000</v>
      </c>
      <c r="G220" s="74">
        <f t="shared" si="61"/>
        <v>0</v>
      </c>
      <c r="H220" s="95">
        <f t="shared" si="58"/>
        <v>1000</v>
      </c>
      <c r="I220" s="112"/>
      <c r="J220" s="57">
        <v>1000</v>
      </c>
      <c r="K220" s="57"/>
      <c r="L220" s="57"/>
      <c r="M220" s="57"/>
      <c r="N220" s="57"/>
      <c r="O220" s="57"/>
      <c r="P220" s="68"/>
      <c r="Q220" s="58"/>
      <c r="R220" s="76"/>
      <c r="S220" s="76"/>
      <c r="T220" s="128"/>
    </row>
    <row r="221" spans="1:20" s="3" customFormat="1" ht="15.75" x14ac:dyDescent="0.25">
      <c r="A221" s="7" t="s">
        <v>219</v>
      </c>
      <c r="B221" s="13" t="s">
        <v>695</v>
      </c>
      <c r="C221" s="23"/>
      <c r="D221" s="24"/>
      <c r="E221" s="17"/>
      <c r="F221" s="82">
        <f>SUM(F222:F225)</f>
        <v>5590</v>
      </c>
      <c r="G221" s="89">
        <f t="shared" si="61"/>
        <v>0</v>
      </c>
      <c r="H221" s="18">
        <f t="shared" si="58"/>
        <v>5590</v>
      </c>
      <c r="I221" s="54">
        <f t="shared" ref="I221:Q221" si="69">SUM(I222:I225)</f>
        <v>0</v>
      </c>
      <c r="J221" s="55">
        <f t="shared" si="69"/>
        <v>900</v>
      </c>
      <c r="K221" s="55">
        <f t="shared" si="69"/>
        <v>0</v>
      </c>
      <c r="L221" s="55">
        <f t="shared" si="69"/>
        <v>0</v>
      </c>
      <c r="M221" s="55">
        <f t="shared" si="69"/>
        <v>0</v>
      </c>
      <c r="N221" s="55">
        <f t="shared" si="69"/>
        <v>0</v>
      </c>
      <c r="O221" s="55">
        <f t="shared" si="69"/>
        <v>0</v>
      </c>
      <c r="P221" s="55">
        <f t="shared" si="69"/>
        <v>4690</v>
      </c>
      <c r="Q221" s="56">
        <f t="shared" si="69"/>
        <v>0</v>
      </c>
      <c r="R221" s="33">
        <v>10000</v>
      </c>
      <c r="S221" s="33">
        <f>3332.23+32+252.53+504.02+1025.03+35.02+1004.91+133.42-500</f>
        <v>5819.1600000000008</v>
      </c>
      <c r="T221" s="127">
        <f>S221*100/R221</f>
        <v>58.191600000000008</v>
      </c>
    </row>
    <row r="222" spans="1:20" outlineLevel="1" x14ac:dyDescent="0.25">
      <c r="A222" s="4" t="s">
        <v>220</v>
      </c>
      <c r="B222" s="75" t="s">
        <v>965</v>
      </c>
      <c r="C222" s="25"/>
      <c r="D222" s="92">
        <v>1</v>
      </c>
      <c r="E222" s="110">
        <v>700</v>
      </c>
      <c r="F222" s="93">
        <f>D222*E222</f>
        <v>700</v>
      </c>
      <c r="G222" s="74">
        <f t="shared" si="61"/>
        <v>0</v>
      </c>
      <c r="H222" s="95">
        <f t="shared" si="58"/>
        <v>700</v>
      </c>
      <c r="I222" s="112"/>
      <c r="J222" s="57">
        <v>700</v>
      </c>
      <c r="K222" s="57"/>
      <c r="L222" s="57"/>
      <c r="M222" s="57"/>
      <c r="N222" s="57"/>
      <c r="O222" s="57"/>
      <c r="P222" s="68"/>
      <c r="Q222" s="58"/>
      <c r="R222" s="76"/>
      <c r="S222" s="76"/>
      <c r="T222" s="128"/>
    </row>
    <row r="223" spans="1:20" outlineLevel="1" x14ac:dyDescent="0.25">
      <c r="A223" s="4" t="s">
        <v>221</v>
      </c>
      <c r="B223" s="75" t="s">
        <v>913</v>
      </c>
      <c r="C223" s="25"/>
      <c r="D223" s="92">
        <v>1</v>
      </c>
      <c r="E223" s="110">
        <v>600</v>
      </c>
      <c r="F223" s="93">
        <f>D223*E223</f>
        <v>600</v>
      </c>
      <c r="G223" s="74">
        <f t="shared" si="61"/>
        <v>0</v>
      </c>
      <c r="H223" s="95">
        <f t="shared" si="58"/>
        <v>600</v>
      </c>
      <c r="I223" s="112"/>
      <c r="J223" s="57">
        <v>200</v>
      </c>
      <c r="K223" s="57"/>
      <c r="L223" s="57"/>
      <c r="M223" s="57"/>
      <c r="N223" s="57"/>
      <c r="O223" s="57"/>
      <c r="P223" s="68">
        <v>400</v>
      </c>
      <c r="Q223" s="58"/>
      <c r="R223" s="76"/>
      <c r="S223" s="76"/>
      <c r="T223" s="128"/>
    </row>
    <row r="224" spans="1:20" outlineLevel="1" x14ac:dyDescent="0.25">
      <c r="A224" s="4" t="s">
        <v>977</v>
      </c>
      <c r="B224" s="75" t="s">
        <v>951</v>
      </c>
      <c r="C224" s="25"/>
      <c r="D224" s="92">
        <v>1</v>
      </c>
      <c r="E224" s="110">
        <v>3590</v>
      </c>
      <c r="F224" s="93">
        <f>D224*E224</f>
        <v>3590</v>
      </c>
      <c r="G224" s="74">
        <f t="shared" si="61"/>
        <v>0</v>
      </c>
      <c r="H224" s="95">
        <f t="shared" si="58"/>
        <v>3590</v>
      </c>
      <c r="I224" s="112"/>
      <c r="J224" s="57"/>
      <c r="K224" s="57"/>
      <c r="L224" s="57"/>
      <c r="M224" s="57"/>
      <c r="N224" s="57"/>
      <c r="O224" s="57"/>
      <c r="P224" s="68">
        <v>3590</v>
      </c>
      <c r="Q224" s="58"/>
      <c r="R224" s="76"/>
      <c r="S224" s="76"/>
      <c r="T224" s="128"/>
    </row>
    <row r="225" spans="1:20" outlineLevel="1" x14ac:dyDescent="0.25">
      <c r="A225" s="4" t="s">
        <v>222</v>
      </c>
      <c r="B225" s="75" t="s">
        <v>47</v>
      </c>
      <c r="C225" s="25"/>
      <c r="D225" s="92">
        <v>1</v>
      </c>
      <c r="E225" s="110">
        <v>700</v>
      </c>
      <c r="F225" s="93">
        <f>D225*E225</f>
        <v>700</v>
      </c>
      <c r="G225" s="74">
        <f t="shared" si="61"/>
        <v>0</v>
      </c>
      <c r="H225" s="95">
        <f t="shared" si="58"/>
        <v>700</v>
      </c>
      <c r="I225" s="112"/>
      <c r="J225" s="57"/>
      <c r="K225" s="57"/>
      <c r="L225" s="57"/>
      <c r="M225" s="57"/>
      <c r="N225" s="57"/>
      <c r="O225" s="57"/>
      <c r="P225" s="68">
        <v>700</v>
      </c>
      <c r="Q225" s="58"/>
      <c r="R225" s="76"/>
      <c r="S225" s="76"/>
      <c r="T225" s="128"/>
    </row>
    <row r="226" spans="1:20" s="3" customFormat="1" ht="15.75" x14ac:dyDescent="0.25">
      <c r="A226" s="7" t="s">
        <v>223</v>
      </c>
      <c r="B226" s="13" t="s">
        <v>495</v>
      </c>
      <c r="C226" s="23"/>
      <c r="D226" s="24"/>
      <c r="E226" s="17"/>
      <c r="F226" s="82">
        <f>SUM(F227:F227)</f>
        <v>3900</v>
      </c>
      <c r="G226" s="89">
        <f t="shared" si="61"/>
        <v>0</v>
      </c>
      <c r="H226" s="18">
        <f t="shared" si="58"/>
        <v>3900</v>
      </c>
      <c r="I226" s="54">
        <f t="shared" ref="I226:Q226" si="70">SUM(I227:I227)</f>
        <v>0</v>
      </c>
      <c r="J226" s="55">
        <f t="shared" si="70"/>
        <v>0</v>
      </c>
      <c r="K226" s="55">
        <f t="shared" si="70"/>
        <v>0</v>
      </c>
      <c r="L226" s="55">
        <f t="shared" si="70"/>
        <v>0</v>
      </c>
      <c r="M226" s="55">
        <f t="shared" si="70"/>
        <v>0</v>
      </c>
      <c r="N226" s="55">
        <f t="shared" si="70"/>
        <v>0</v>
      </c>
      <c r="O226" s="55">
        <f t="shared" si="70"/>
        <v>0</v>
      </c>
      <c r="P226" s="55">
        <f t="shared" si="70"/>
        <v>3900</v>
      </c>
      <c r="Q226" s="56">
        <f t="shared" si="70"/>
        <v>0</v>
      </c>
      <c r="R226" s="33">
        <v>3900</v>
      </c>
      <c r="S226" s="33">
        <v>3900</v>
      </c>
      <c r="T226" s="127">
        <f>S226*100/R226</f>
        <v>100</v>
      </c>
    </row>
    <row r="227" spans="1:20" outlineLevel="1" x14ac:dyDescent="0.25">
      <c r="A227" s="4" t="s">
        <v>224</v>
      </c>
      <c r="B227" s="75" t="s">
        <v>495</v>
      </c>
      <c r="C227" s="25"/>
      <c r="D227" s="92">
        <v>1</v>
      </c>
      <c r="E227" s="110">
        <v>3900</v>
      </c>
      <c r="F227" s="93">
        <f>D227*E227</f>
        <v>3900</v>
      </c>
      <c r="G227" s="74">
        <f t="shared" si="61"/>
        <v>0</v>
      </c>
      <c r="H227" s="95">
        <f t="shared" si="58"/>
        <v>3900</v>
      </c>
      <c r="I227" s="112"/>
      <c r="J227" s="57"/>
      <c r="K227" s="57"/>
      <c r="L227" s="57"/>
      <c r="M227" s="57"/>
      <c r="N227" s="57"/>
      <c r="O227" s="57"/>
      <c r="P227" s="68">
        <v>3900</v>
      </c>
      <c r="Q227" s="58"/>
      <c r="R227" s="76"/>
      <c r="S227" s="76"/>
      <c r="T227" s="128"/>
    </row>
    <row r="228" spans="1:20" s="2" customFormat="1" ht="21" x14ac:dyDescent="0.35">
      <c r="A228" s="8" t="s">
        <v>226</v>
      </c>
      <c r="B228" s="12" t="s">
        <v>589</v>
      </c>
      <c r="C228" s="21"/>
      <c r="D228" s="22"/>
      <c r="E228" s="15"/>
      <c r="F228" s="84">
        <f>F229+F235+F249</f>
        <v>116300</v>
      </c>
      <c r="G228" s="89">
        <f t="shared" si="61"/>
        <v>-3500.4255192500132</v>
      </c>
      <c r="H228" s="16">
        <f t="shared" si="58"/>
        <v>112799.57448074999</v>
      </c>
      <c r="I228" s="51">
        <f t="shared" ref="I228:S228" si="71">I229+I235+I246+I249</f>
        <v>24654</v>
      </c>
      <c r="J228" s="51">
        <f t="shared" si="71"/>
        <v>0</v>
      </c>
      <c r="K228" s="51">
        <f t="shared" si="71"/>
        <v>0</v>
      </c>
      <c r="L228" s="51">
        <f t="shared" si="71"/>
        <v>18657</v>
      </c>
      <c r="M228" s="51">
        <f t="shared" si="71"/>
        <v>0</v>
      </c>
      <c r="N228" s="51">
        <f t="shared" si="71"/>
        <v>0</v>
      </c>
      <c r="O228" s="51">
        <f t="shared" si="71"/>
        <v>0</v>
      </c>
      <c r="P228" s="51">
        <f t="shared" si="71"/>
        <v>48988.574480749994</v>
      </c>
      <c r="Q228" s="51">
        <f t="shared" si="71"/>
        <v>20500</v>
      </c>
      <c r="R228" s="32">
        <f t="shared" si="71"/>
        <v>127251</v>
      </c>
      <c r="S228" s="32">
        <f t="shared" si="71"/>
        <v>80762.839999999982</v>
      </c>
      <c r="T228" s="126">
        <f>S228*100/R228</f>
        <v>63.46735192650744</v>
      </c>
    </row>
    <row r="229" spans="1:20" s="3" customFormat="1" ht="15.75" x14ac:dyDescent="0.25">
      <c r="A229" s="7" t="s">
        <v>230</v>
      </c>
      <c r="B229" s="13" t="s">
        <v>211</v>
      </c>
      <c r="C229" s="23"/>
      <c r="D229" s="24"/>
      <c r="E229" s="17"/>
      <c r="F229" s="82">
        <f>SUM(F230:F234)</f>
        <v>12000</v>
      </c>
      <c r="G229" s="89">
        <f t="shared" si="61"/>
        <v>0</v>
      </c>
      <c r="H229" s="18">
        <f t="shared" si="58"/>
        <v>12000</v>
      </c>
      <c r="I229" s="54">
        <f t="shared" ref="I229:Q229" si="72">SUM(I230:I234)</f>
        <v>10800</v>
      </c>
      <c r="J229" s="55">
        <f t="shared" si="72"/>
        <v>0</v>
      </c>
      <c r="K229" s="55">
        <f t="shared" si="72"/>
        <v>0</v>
      </c>
      <c r="L229" s="55">
        <f t="shared" si="72"/>
        <v>1200</v>
      </c>
      <c r="M229" s="55">
        <f t="shared" si="72"/>
        <v>0</v>
      </c>
      <c r="N229" s="55">
        <f t="shared" si="72"/>
        <v>0</v>
      </c>
      <c r="O229" s="55">
        <f t="shared" si="72"/>
        <v>0</v>
      </c>
      <c r="P229" s="55">
        <f t="shared" si="72"/>
        <v>0</v>
      </c>
      <c r="Q229" s="56">
        <f t="shared" si="72"/>
        <v>0</v>
      </c>
      <c r="R229" s="33">
        <v>14000</v>
      </c>
      <c r="S229" s="33">
        <f>724.5+556.35+3329.68+814.22+561.91+123.23+10.49+1698.97+2218.69+23.57</f>
        <v>10061.609999999999</v>
      </c>
      <c r="T229" s="127">
        <f>S229*100/R229</f>
        <v>71.868642857142845</v>
      </c>
    </row>
    <row r="230" spans="1:20" outlineLevel="1" x14ac:dyDescent="0.25">
      <c r="A230" s="4" t="s">
        <v>231</v>
      </c>
      <c r="B230" s="75" t="s">
        <v>938</v>
      </c>
      <c r="C230" s="25"/>
      <c r="D230" s="92">
        <v>1</v>
      </c>
      <c r="E230" s="110">
        <v>3000</v>
      </c>
      <c r="F230" s="93">
        <f>D230*E230</f>
        <v>3000</v>
      </c>
      <c r="G230" s="74">
        <f t="shared" si="61"/>
        <v>0</v>
      </c>
      <c r="H230" s="95">
        <f t="shared" si="58"/>
        <v>3000</v>
      </c>
      <c r="I230" s="112">
        <v>2500</v>
      </c>
      <c r="J230" s="57"/>
      <c r="K230" s="57"/>
      <c r="L230" s="57">
        <v>500</v>
      </c>
      <c r="M230" s="57"/>
      <c r="N230" s="57"/>
      <c r="O230" s="57"/>
      <c r="P230" s="68"/>
      <c r="Q230" s="58"/>
      <c r="R230" s="76"/>
      <c r="S230" s="76"/>
      <c r="T230" s="128"/>
    </row>
    <row r="231" spans="1:20" outlineLevel="1" x14ac:dyDescent="0.25">
      <c r="A231" s="4" t="s">
        <v>232</v>
      </c>
      <c r="B231" s="75" t="s">
        <v>939</v>
      </c>
      <c r="C231" s="25"/>
      <c r="D231" s="92">
        <v>1</v>
      </c>
      <c r="E231" s="110">
        <v>4000</v>
      </c>
      <c r="F231" s="93">
        <f>D231*E231</f>
        <v>4000</v>
      </c>
      <c r="G231" s="74">
        <f t="shared" si="61"/>
        <v>0</v>
      </c>
      <c r="H231" s="95">
        <f t="shared" si="58"/>
        <v>4000</v>
      </c>
      <c r="I231" s="112">
        <v>3800</v>
      </c>
      <c r="J231" s="57"/>
      <c r="K231" s="57"/>
      <c r="L231" s="57">
        <v>200</v>
      </c>
      <c r="M231" s="57"/>
      <c r="N231" s="57"/>
      <c r="O231" s="57"/>
      <c r="P231" s="68"/>
      <c r="Q231" s="58"/>
      <c r="R231" s="76"/>
      <c r="S231" s="76"/>
      <c r="T231" s="128"/>
    </row>
    <row r="232" spans="1:20" outlineLevel="1" x14ac:dyDescent="0.25">
      <c r="A232" s="4" t="s">
        <v>233</v>
      </c>
      <c r="B232" s="75" t="s">
        <v>940</v>
      </c>
      <c r="C232" s="25"/>
      <c r="D232" s="92">
        <v>1</v>
      </c>
      <c r="E232" s="110">
        <v>1000</v>
      </c>
      <c r="F232" s="93">
        <f>D232*E232</f>
        <v>1000</v>
      </c>
      <c r="G232" s="74">
        <f t="shared" si="61"/>
        <v>0</v>
      </c>
      <c r="H232" s="95">
        <f t="shared" si="58"/>
        <v>1000</v>
      </c>
      <c r="I232" s="112">
        <v>1000</v>
      </c>
      <c r="J232" s="57"/>
      <c r="K232" s="57"/>
      <c r="L232" s="57"/>
      <c r="M232" s="57"/>
      <c r="N232" s="57"/>
      <c r="O232" s="57"/>
      <c r="P232" s="68"/>
      <c r="Q232" s="58"/>
      <c r="R232" s="76"/>
      <c r="S232" s="76"/>
      <c r="T232" s="128"/>
    </row>
    <row r="233" spans="1:20" outlineLevel="1" x14ac:dyDescent="0.25">
      <c r="A233" s="4" t="s">
        <v>820</v>
      </c>
      <c r="B233" s="75" t="s">
        <v>941</v>
      </c>
      <c r="C233" s="25"/>
      <c r="D233" s="92">
        <v>1</v>
      </c>
      <c r="E233" s="110">
        <v>4000</v>
      </c>
      <c r="F233" s="93">
        <f>D233*E233</f>
        <v>4000</v>
      </c>
      <c r="G233" s="74">
        <f t="shared" si="61"/>
        <v>0</v>
      </c>
      <c r="H233" s="95">
        <f t="shared" si="58"/>
        <v>4000</v>
      </c>
      <c r="I233" s="112">
        <v>3500</v>
      </c>
      <c r="J233" s="57"/>
      <c r="K233" s="57"/>
      <c r="L233" s="57">
        <v>500</v>
      </c>
      <c r="M233" s="57"/>
      <c r="N233" s="57"/>
      <c r="O233" s="57"/>
      <c r="P233" s="68"/>
      <c r="Q233" s="58"/>
      <c r="R233" s="76"/>
      <c r="S233" s="76"/>
      <c r="T233" s="128"/>
    </row>
    <row r="234" spans="1:20" outlineLevel="1" x14ac:dyDescent="0.25">
      <c r="A234" s="4" t="s">
        <v>821</v>
      </c>
      <c r="B234" s="75" t="s">
        <v>47</v>
      </c>
      <c r="C234" s="25"/>
      <c r="D234" s="92"/>
      <c r="E234" s="110"/>
      <c r="F234" s="93">
        <f>D234*E234</f>
        <v>0</v>
      </c>
      <c r="G234" s="74">
        <f t="shared" si="61"/>
        <v>0</v>
      </c>
      <c r="H234" s="95">
        <f t="shared" si="58"/>
        <v>0</v>
      </c>
      <c r="I234" s="112"/>
      <c r="J234" s="57"/>
      <c r="K234" s="57"/>
      <c r="L234" s="57"/>
      <c r="M234" s="57"/>
      <c r="N234" s="57"/>
      <c r="O234" s="57"/>
      <c r="P234" s="68"/>
      <c r="Q234" s="58"/>
      <c r="R234" s="76"/>
      <c r="S234" s="76"/>
      <c r="T234" s="128"/>
    </row>
    <row r="235" spans="1:20" s="3" customFormat="1" ht="15.75" x14ac:dyDescent="0.25">
      <c r="A235" s="7" t="s">
        <v>234</v>
      </c>
      <c r="B235" s="13" t="s">
        <v>229</v>
      </c>
      <c r="C235" s="23"/>
      <c r="D235" s="24"/>
      <c r="E235" s="17"/>
      <c r="F235" s="82">
        <f>SUM(F236:F245)</f>
        <v>88300</v>
      </c>
      <c r="G235" s="89">
        <f t="shared" si="61"/>
        <v>-3500.4255192500132</v>
      </c>
      <c r="H235" s="18">
        <f t="shared" si="58"/>
        <v>84799.574480749987</v>
      </c>
      <c r="I235" s="54">
        <f t="shared" ref="I235:Q235" si="73">SUM(I236:I245)</f>
        <v>13854</v>
      </c>
      <c r="J235" s="55">
        <f t="shared" si="73"/>
        <v>0</v>
      </c>
      <c r="K235" s="55">
        <f t="shared" si="73"/>
        <v>0</v>
      </c>
      <c r="L235" s="55">
        <f t="shared" si="73"/>
        <v>17457</v>
      </c>
      <c r="M235" s="55">
        <f t="shared" si="73"/>
        <v>0</v>
      </c>
      <c r="N235" s="55">
        <f t="shared" si="73"/>
        <v>0</v>
      </c>
      <c r="O235" s="55">
        <f t="shared" si="73"/>
        <v>0</v>
      </c>
      <c r="P235" s="55">
        <f t="shared" si="73"/>
        <v>48988.574480749994</v>
      </c>
      <c r="Q235" s="56">
        <f t="shared" si="73"/>
        <v>4500</v>
      </c>
      <c r="R235" s="33">
        <f>88681+700-14000-7640-3950+13200</f>
        <v>76991</v>
      </c>
      <c r="S235" s="33">
        <f>136+5989.61+13771.71+742.34+8.61+186.76+1021.3+44.37+922.12+3102.14+50.03+250.14+126.1+6855.76+572.02+752.65+81.4+123.99+5462.14+14.09+20.62+35+389.58+30.3+789.17+127.08+500+100+250+300+167.48+8.38-1698.97-2218.69-23.57+31711.57</f>
        <v>70701.229999999981</v>
      </c>
      <c r="T235" s="127">
        <f>S235*100/R235</f>
        <v>91.830512657323553</v>
      </c>
    </row>
    <row r="236" spans="1:20" outlineLevel="1" x14ac:dyDescent="0.25">
      <c r="A236" s="4" t="s">
        <v>822</v>
      </c>
      <c r="B236" s="75" t="s">
        <v>952</v>
      </c>
      <c r="C236" s="25"/>
      <c r="D236" s="92">
        <v>1</v>
      </c>
      <c r="E236" s="110">
        <v>2500</v>
      </c>
      <c r="F236" s="93">
        <f t="shared" ref="F236:F245" si="74">D236*E236</f>
        <v>2500</v>
      </c>
      <c r="G236" s="74">
        <f t="shared" si="61"/>
        <v>-0.24808849999999438</v>
      </c>
      <c r="H236" s="95">
        <f t="shared" si="58"/>
        <v>2499.7519115</v>
      </c>
      <c r="I236" s="112"/>
      <c r="J236" s="57"/>
      <c r="K236" s="57"/>
      <c r="L236" s="57"/>
      <c r="M236" s="57"/>
      <c r="N236" s="57"/>
      <c r="O236" s="57"/>
      <c r="P236" s="57">
        <v>2499.7519115</v>
      </c>
      <c r="Q236" s="58"/>
      <c r="R236" s="76"/>
      <c r="S236" s="76"/>
      <c r="T236" s="128"/>
    </row>
    <row r="237" spans="1:20" outlineLevel="1" x14ac:dyDescent="0.25">
      <c r="A237" s="4" t="s">
        <v>823</v>
      </c>
      <c r="B237" s="75" t="s">
        <v>942</v>
      </c>
      <c r="C237" s="25"/>
      <c r="D237" s="92">
        <v>1</v>
      </c>
      <c r="E237" s="110">
        <v>6000</v>
      </c>
      <c r="F237" s="93">
        <f t="shared" si="74"/>
        <v>6000</v>
      </c>
      <c r="G237" s="74">
        <f t="shared" si="61"/>
        <v>-8.0147499999839056E-2</v>
      </c>
      <c r="H237" s="95">
        <f t="shared" si="58"/>
        <v>5999.9198525000002</v>
      </c>
      <c r="I237" s="112"/>
      <c r="J237" s="57"/>
      <c r="K237" s="57"/>
      <c r="L237" s="57">
        <v>1000</v>
      </c>
      <c r="M237" s="57"/>
      <c r="N237" s="57"/>
      <c r="O237" s="57"/>
      <c r="P237" s="57">
        <v>4999.9198525000002</v>
      </c>
      <c r="Q237" s="58"/>
      <c r="R237" s="76"/>
      <c r="S237" s="76"/>
      <c r="T237" s="128"/>
    </row>
    <row r="238" spans="1:20" outlineLevel="1" x14ac:dyDescent="0.25">
      <c r="A238" s="4" t="s">
        <v>824</v>
      </c>
      <c r="B238" s="75" t="s">
        <v>943</v>
      </c>
      <c r="C238" s="25"/>
      <c r="D238" s="92">
        <v>1</v>
      </c>
      <c r="E238" s="110">
        <v>14000</v>
      </c>
      <c r="F238" s="93">
        <f t="shared" si="74"/>
        <v>14000</v>
      </c>
      <c r="G238" s="74">
        <f t="shared" si="61"/>
        <v>0.2557345000004716</v>
      </c>
      <c r="H238" s="95">
        <f t="shared" si="58"/>
        <v>14000.2557345</v>
      </c>
      <c r="I238" s="112"/>
      <c r="J238" s="57"/>
      <c r="K238" s="57"/>
      <c r="L238" s="57">
        <v>5657</v>
      </c>
      <c r="M238" s="57"/>
      <c r="N238" s="57"/>
      <c r="O238" s="57"/>
      <c r="P238" s="57">
        <v>8343.2557345000005</v>
      </c>
      <c r="Q238" s="58"/>
      <c r="R238" s="76"/>
      <c r="S238" s="76"/>
      <c r="T238" s="128"/>
    </row>
    <row r="239" spans="1:20" outlineLevel="1" x14ac:dyDescent="0.25">
      <c r="A239" s="4" t="s">
        <v>825</v>
      </c>
      <c r="B239" s="75" t="s">
        <v>946</v>
      </c>
      <c r="C239" s="25"/>
      <c r="D239" s="92">
        <v>1</v>
      </c>
      <c r="E239" s="110">
        <v>6000</v>
      </c>
      <c r="F239" s="93">
        <f t="shared" si="74"/>
        <v>6000</v>
      </c>
      <c r="G239" s="74">
        <f t="shared" si="61"/>
        <v>-0.49617699999998877</v>
      </c>
      <c r="H239" s="95">
        <f t="shared" si="58"/>
        <v>5999.503823</v>
      </c>
      <c r="I239" s="112"/>
      <c r="J239" s="57"/>
      <c r="K239" s="57"/>
      <c r="L239" s="57">
        <v>500</v>
      </c>
      <c r="M239" s="57"/>
      <c r="N239" s="57"/>
      <c r="O239" s="57"/>
      <c r="P239" s="57">
        <v>5499.503823</v>
      </c>
      <c r="Q239" s="58"/>
      <c r="R239" s="76"/>
      <c r="S239" s="76"/>
      <c r="T239" s="128"/>
    </row>
    <row r="240" spans="1:20" outlineLevel="1" x14ac:dyDescent="0.25">
      <c r="A240" s="4" t="s">
        <v>826</v>
      </c>
      <c r="B240" s="75" t="s">
        <v>944</v>
      </c>
      <c r="C240" s="25"/>
      <c r="D240" s="92">
        <v>1</v>
      </c>
      <c r="E240" s="110">
        <v>4000</v>
      </c>
      <c r="F240" s="93">
        <f t="shared" si="74"/>
        <v>4000</v>
      </c>
      <c r="G240" s="74">
        <f t="shared" si="61"/>
        <v>0</v>
      </c>
      <c r="H240" s="95">
        <f t="shared" si="58"/>
        <v>4000</v>
      </c>
      <c r="I240" s="112">
        <v>1000</v>
      </c>
      <c r="J240" s="57"/>
      <c r="K240" s="57"/>
      <c r="L240" s="57">
        <v>1000</v>
      </c>
      <c r="M240" s="57"/>
      <c r="N240" s="57"/>
      <c r="O240" s="57"/>
      <c r="P240" s="57">
        <v>2000</v>
      </c>
      <c r="Q240" s="58"/>
      <c r="R240" s="76"/>
      <c r="S240" s="76"/>
      <c r="T240" s="128"/>
    </row>
    <row r="241" spans="1:20" outlineLevel="1" x14ac:dyDescent="0.25">
      <c r="A241" s="4" t="s">
        <v>827</v>
      </c>
      <c r="B241" s="75" t="s">
        <v>947</v>
      </c>
      <c r="C241" s="25"/>
      <c r="D241" s="92">
        <v>1</v>
      </c>
      <c r="E241" s="110">
        <v>33000</v>
      </c>
      <c r="F241" s="93">
        <f t="shared" si="74"/>
        <v>33000</v>
      </c>
      <c r="G241" s="74">
        <f t="shared" si="61"/>
        <v>0.30345424999541137</v>
      </c>
      <c r="H241" s="95">
        <f t="shared" si="58"/>
        <v>33000.303454249995</v>
      </c>
      <c r="I241" s="112">
        <v>10854</v>
      </c>
      <c r="J241" s="57"/>
      <c r="K241" s="57"/>
      <c r="L241" s="57">
        <v>5000</v>
      </c>
      <c r="M241" s="57"/>
      <c r="N241" s="57"/>
      <c r="O241" s="57"/>
      <c r="P241" s="57">
        <v>17146.303454249999</v>
      </c>
      <c r="Q241" s="58"/>
      <c r="R241" s="76"/>
      <c r="S241" s="76"/>
      <c r="T241" s="128"/>
    </row>
    <row r="242" spans="1:20" outlineLevel="1" x14ac:dyDescent="0.25">
      <c r="A242" s="4" t="s">
        <v>828</v>
      </c>
      <c r="B242" s="75" t="s">
        <v>948</v>
      </c>
      <c r="C242" s="25"/>
      <c r="D242" s="92">
        <v>1</v>
      </c>
      <c r="E242" s="110">
        <v>8500</v>
      </c>
      <c r="F242" s="93">
        <f t="shared" si="74"/>
        <v>8500</v>
      </c>
      <c r="G242" s="74">
        <f t="shared" si="61"/>
        <v>-0.16029499999967811</v>
      </c>
      <c r="H242" s="95">
        <f t="shared" si="58"/>
        <v>8499.8397050000003</v>
      </c>
      <c r="I242" s="112"/>
      <c r="J242" s="57"/>
      <c r="K242" s="57"/>
      <c r="L242" s="57"/>
      <c r="M242" s="57"/>
      <c r="N242" s="57"/>
      <c r="O242" s="57"/>
      <c r="P242" s="57">
        <v>8499.8397050000003</v>
      </c>
      <c r="Q242" s="58"/>
      <c r="R242" s="76"/>
      <c r="S242" s="76"/>
      <c r="T242" s="128"/>
    </row>
    <row r="243" spans="1:20" outlineLevel="1" x14ac:dyDescent="0.25">
      <c r="A243" s="4" t="s">
        <v>829</v>
      </c>
      <c r="B243" s="75" t="s">
        <v>945</v>
      </c>
      <c r="C243" s="25"/>
      <c r="D243" s="92">
        <v>1</v>
      </c>
      <c r="E243" s="110">
        <v>2000</v>
      </c>
      <c r="F243" s="93">
        <f t="shared" si="74"/>
        <v>2000</v>
      </c>
      <c r="G243" s="74">
        <f t="shared" si="61"/>
        <v>0</v>
      </c>
      <c r="H243" s="95">
        <f t="shared" si="58"/>
        <v>2000</v>
      </c>
      <c r="I243" s="112">
        <v>2000</v>
      </c>
      <c r="J243" s="57"/>
      <c r="K243" s="57"/>
      <c r="L243" s="57"/>
      <c r="M243" s="57"/>
      <c r="N243" s="57"/>
      <c r="O243" s="57"/>
      <c r="P243" s="68"/>
      <c r="Q243" s="58"/>
      <c r="R243" s="76"/>
      <c r="S243" s="76"/>
      <c r="T243" s="128"/>
    </row>
    <row r="244" spans="1:20" outlineLevel="1" x14ac:dyDescent="0.25">
      <c r="A244" s="4" t="s">
        <v>830</v>
      </c>
      <c r="B244" s="75" t="s">
        <v>949</v>
      </c>
      <c r="C244" s="25"/>
      <c r="D244" s="92">
        <v>1</v>
      </c>
      <c r="E244" s="110">
        <v>300</v>
      </c>
      <c r="F244" s="93">
        <f t="shared" si="74"/>
        <v>300</v>
      </c>
      <c r="G244" s="74">
        <f t="shared" si="61"/>
        <v>0</v>
      </c>
      <c r="H244" s="95">
        <f t="shared" si="58"/>
        <v>300</v>
      </c>
      <c r="I244" s="112"/>
      <c r="J244" s="57"/>
      <c r="K244" s="57"/>
      <c r="L244" s="57">
        <v>300</v>
      </c>
      <c r="M244" s="57"/>
      <c r="N244" s="57"/>
      <c r="O244" s="57"/>
      <c r="P244" s="68"/>
      <c r="Q244" s="58"/>
      <c r="R244" s="76"/>
      <c r="S244" s="76"/>
      <c r="T244" s="128"/>
    </row>
    <row r="245" spans="1:20" outlineLevel="1" x14ac:dyDescent="0.25">
      <c r="A245" s="4" t="s">
        <v>831</v>
      </c>
      <c r="B245" s="75" t="s">
        <v>47</v>
      </c>
      <c r="C245" s="25"/>
      <c r="D245" s="92">
        <v>1</v>
      </c>
      <c r="E245" s="110">
        <v>12000</v>
      </c>
      <c r="F245" s="93">
        <f t="shared" si="74"/>
        <v>12000</v>
      </c>
      <c r="G245" s="74">
        <f t="shared" si="61"/>
        <v>-3500</v>
      </c>
      <c r="H245" s="95">
        <f t="shared" si="58"/>
        <v>8500</v>
      </c>
      <c r="I245" s="112"/>
      <c r="J245" s="57"/>
      <c r="K245" s="57"/>
      <c r="L245" s="57">
        <v>4000</v>
      </c>
      <c r="M245" s="57"/>
      <c r="N245" s="57"/>
      <c r="O245" s="57"/>
      <c r="P245" s="68"/>
      <c r="Q245" s="58">
        <v>4500</v>
      </c>
      <c r="R245" s="76"/>
      <c r="S245" s="76"/>
      <c r="T245" s="128"/>
    </row>
    <row r="246" spans="1:20" s="3" customFormat="1" ht="15.75" x14ac:dyDescent="0.25">
      <c r="A246" s="7" t="s">
        <v>235</v>
      </c>
      <c r="B246" s="13" t="s">
        <v>710</v>
      </c>
      <c r="C246" s="23"/>
      <c r="D246" s="24"/>
      <c r="E246" s="17"/>
      <c r="F246" s="33">
        <f>SUM(F247:F248)</f>
        <v>0</v>
      </c>
      <c r="G246" s="89">
        <f>H246-F246</f>
        <v>0</v>
      </c>
      <c r="H246" s="18">
        <f>SUM(I246:Q246)</f>
        <v>0</v>
      </c>
      <c r="I246" s="54">
        <f t="shared" ref="I246:Q246" si="75">SUM(I247:I248)</f>
        <v>0</v>
      </c>
      <c r="J246" s="55">
        <f t="shared" si="75"/>
        <v>0</v>
      </c>
      <c r="K246" s="55">
        <f t="shared" si="75"/>
        <v>0</v>
      </c>
      <c r="L246" s="55">
        <f t="shared" si="75"/>
        <v>0</v>
      </c>
      <c r="M246" s="55">
        <f t="shared" si="75"/>
        <v>0</v>
      </c>
      <c r="N246" s="55">
        <f t="shared" si="75"/>
        <v>0</v>
      </c>
      <c r="O246" s="55">
        <f t="shared" si="75"/>
        <v>0</v>
      </c>
      <c r="P246" s="55">
        <f t="shared" si="75"/>
        <v>0</v>
      </c>
      <c r="Q246" s="56">
        <f t="shared" si="75"/>
        <v>0</v>
      </c>
      <c r="R246" s="33"/>
      <c r="S246" s="33">
        <f>SUM(S247:S248)</f>
        <v>0</v>
      </c>
      <c r="T246" s="127" t="e">
        <f>S246*100/R246</f>
        <v>#DIV/0!</v>
      </c>
    </row>
    <row r="247" spans="1:20" outlineLevel="1" x14ac:dyDescent="0.25">
      <c r="A247" s="4" t="s">
        <v>832</v>
      </c>
      <c r="B247" s="75"/>
      <c r="C247" s="25"/>
      <c r="D247" s="92"/>
      <c r="E247" s="110"/>
      <c r="F247" s="93">
        <f>D247*E247</f>
        <v>0</v>
      </c>
      <c r="G247" s="74">
        <f>H247-F247</f>
        <v>0</v>
      </c>
      <c r="H247" s="95">
        <f>SUM(I247:Q247)</f>
        <v>0</v>
      </c>
      <c r="I247" s="112"/>
      <c r="J247" s="57"/>
      <c r="K247" s="57"/>
      <c r="L247" s="57"/>
      <c r="M247" s="57"/>
      <c r="N247" s="57"/>
      <c r="O247" s="57"/>
      <c r="P247" s="68"/>
      <c r="Q247" s="58"/>
      <c r="R247" s="76"/>
      <c r="S247" s="76"/>
      <c r="T247" s="128"/>
    </row>
    <row r="248" spans="1:20" outlineLevel="1" x14ac:dyDescent="0.25">
      <c r="A248" s="4" t="s">
        <v>833</v>
      </c>
      <c r="B248" s="75"/>
      <c r="C248" s="25"/>
      <c r="D248" s="92"/>
      <c r="E248" s="110"/>
      <c r="F248" s="93">
        <f>D248*E248</f>
        <v>0</v>
      </c>
      <c r="G248" s="74">
        <f>H248-F248</f>
        <v>0</v>
      </c>
      <c r="H248" s="95">
        <f>SUM(I248:Q248)</f>
        <v>0</v>
      </c>
      <c r="I248" s="112"/>
      <c r="J248" s="57"/>
      <c r="K248" s="57"/>
      <c r="L248" s="57"/>
      <c r="M248" s="57"/>
      <c r="N248" s="57"/>
      <c r="O248" s="57"/>
      <c r="P248" s="68"/>
      <c r="Q248" s="58"/>
      <c r="R248" s="76"/>
      <c r="S248" s="76"/>
      <c r="T248" s="128"/>
    </row>
    <row r="249" spans="1:20" s="3" customFormat="1" ht="15.75" x14ac:dyDescent="0.25">
      <c r="A249" s="7" t="s">
        <v>711</v>
      </c>
      <c r="B249" s="13" t="s">
        <v>337</v>
      </c>
      <c r="C249" s="23"/>
      <c r="D249" s="24"/>
      <c r="E249" s="17"/>
      <c r="F249" s="33">
        <f>SUM(F250:F251)</f>
        <v>16000</v>
      </c>
      <c r="G249" s="89">
        <f t="shared" si="61"/>
        <v>0</v>
      </c>
      <c r="H249" s="18">
        <f t="shared" si="58"/>
        <v>16000</v>
      </c>
      <c r="I249" s="54">
        <f t="shared" ref="I249:Q249" si="76">SUM(I250:I251)</f>
        <v>0</v>
      </c>
      <c r="J249" s="55">
        <f t="shared" si="76"/>
        <v>0</v>
      </c>
      <c r="K249" s="55">
        <f t="shared" si="76"/>
        <v>0</v>
      </c>
      <c r="L249" s="55">
        <f t="shared" si="76"/>
        <v>0</v>
      </c>
      <c r="M249" s="55">
        <f t="shared" si="76"/>
        <v>0</v>
      </c>
      <c r="N249" s="55">
        <f t="shared" si="76"/>
        <v>0</v>
      </c>
      <c r="O249" s="55">
        <f t="shared" si="76"/>
        <v>0</v>
      </c>
      <c r="P249" s="55">
        <f t="shared" si="76"/>
        <v>0</v>
      </c>
      <c r="Q249" s="56">
        <f t="shared" si="76"/>
        <v>16000</v>
      </c>
      <c r="R249" s="33">
        <f>49460-13200</f>
        <v>36260</v>
      </c>
      <c r="S249" s="33">
        <f>SUM(S250:S251)</f>
        <v>0</v>
      </c>
      <c r="T249" s="127">
        <f>S249*100/R249</f>
        <v>0</v>
      </c>
    </row>
    <row r="250" spans="1:20" outlineLevel="1" x14ac:dyDescent="0.25">
      <c r="A250" s="4" t="s">
        <v>834</v>
      </c>
      <c r="B250" s="75" t="s">
        <v>337</v>
      </c>
      <c r="C250" s="25"/>
      <c r="D250" s="92">
        <v>1</v>
      </c>
      <c r="E250" s="110">
        <v>16000</v>
      </c>
      <c r="F250" s="93">
        <f>D250*E250</f>
        <v>16000</v>
      </c>
      <c r="G250" s="74">
        <f t="shared" si="61"/>
        <v>0</v>
      </c>
      <c r="H250" s="95">
        <f t="shared" si="58"/>
        <v>16000</v>
      </c>
      <c r="I250" s="112"/>
      <c r="J250" s="57"/>
      <c r="K250" s="57"/>
      <c r="L250" s="57"/>
      <c r="M250" s="57"/>
      <c r="N250" s="57"/>
      <c r="O250" s="57"/>
      <c r="P250" s="68"/>
      <c r="Q250" s="58">
        <v>16000</v>
      </c>
      <c r="R250" s="76"/>
      <c r="S250" s="76"/>
      <c r="T250" s="128"/>
    </row>
    <row r="251" spans="1:20" outlineLevel="1" x14ac:dyDescent="0.25">
      <c r="A251" s="4" t="s">
        <v>835</v>
      </c>
      <c r="B251" s="75"/>
      <c r="C251" s="25"/>
      <c r="D251" s="92"/>
      <c r="E251" s="110"/>
      <c r="F251" s="93">
        <f>D251*E251</f>
        <v>0</v>
      </c>
      <c r="G251" s="74">
        <f t="shared" si="61"/>
        <v>0</v>
      </c>
      <c r="H251" s="95">
        <f t="shared" si="58"/>
        <v>0</v>
      </c>
      <c r="I251" s="112"/>
      <c r="J251" s="57"/>
      <c r="K251" s="57"/>
      <c r="L251" s="57"/>
      <c r="M251" s="57"/>
      <c r="N251" s="57"/>
      <c r="O251" s="57"/>
      <c r="P251" s="68"/>
      <c r="Q251" s="58"/>
      <c r="R251" s="76"/>
      <c r="S251" s="76"/>
      <c r="T251" s="128"/>
    </row>
    <row r="252" spans="1:20" s="2" customFormat="1" ht="21" x14ac:dyDescent="0.35">
      <c r="A252" s="8" t="s">
        <v>236</v>
      </c>
      <c r="B252" s="12" t="s">
        <v>338</v>
      </c>
      <c r="C252" s="21"/>
      <c r="D252" s="22"/>
      <c r="E252" s="15"/>
      <c r="F252" s="84">
        <f>F253+F256+F259</f>
        <v>301294</v>
      </c>
      <c r="G252" s="89">
        <f t="shared" si="61"/>
        <v>0</v>
      </c>
      <c r="H252" s="16">
        <f t="shared" ref="H252:H283" si="77">SUM(I252:Q252)</f>
        <v>301294</v>
      </c>
      <c r="I252" s="51">
        <f t="shared" ref="I252:S252" si="78">I253+I256+I259</f>
        <v>170512.86</v>
      </c>
      <c r="J252" s="51">
        <f t="shared" si="78"/>
        <v>0</v>
      </c>
      <c r="K252" s="51">
        <f t="shared" si="78"/>
        <v>0</v>
      </c>
      <c r="L252" s="51">
        <f t="shared" si="78"/>
        <v>17850</v>
      </c>
      <c r="M252" s="51">
        <f t="shared" si="78"/>
        <v>0</v>
      </c>
      <c r="N252" s="51">
        <f t="shared" si="78"/>
        <v>0</v>
      </c>
      <c r="O252" s="51">
        <f t="shared" si="78"/>
        <v>0</v>
      </c>
      <c r="P252" s="51">
        <f t="shared" si="78"/>
        <v>112931.14</v>
      </c>
      <c r="Q252" s="59">
        <f t="shared" si="78"/>
        <v>0</v>
      </c>
      <c r="R252" s="32">
        <f t="shared" si="78"/>
        <v>301294</v>
      </c>
      <c r="S252" s="32">
        <f t="shared" si="78"/>
        <v>274685.26</v>
      </c>
      <c r="T252" s="126">
        <f>S252*100/R252</f>
        <v>91.168513146627546</v>
      </c>
    </row>
    <row r="253" spans="1:20" s="3" customFormat="1" ht="15.75" x14ac:dyDescent="0.25">
      <c r="A253" s="7" t="s">
        <v>237</v>
      </c>
      <c r="B253" s="13" t="s">
        <v>339</v>
      </c>
      <c r="C253" s="23"/>
      <c r="D253" s="24"/>
      <c r="E253" s="17"/>
      <c r="F253" s="82">
        <f>SUM(F254:F255)</f>
        <v>220295</v>
      </c>
      <c r="G253" s="89">
        <f t="shared" si="61"/>
        <v>0</v>
      </c>
      <c r="H253" s="18">
        <f t="shared" si="77"/>
        <v>220295</v>
      </c>
      <c r="I253" s="54">
        <f t="shared" ref="I253:Q253" si="79">SUM(I254:I255)</f>
        <v>89513.86</v>
      </c>
      <c r="J253" s="55">
        <f t="shared" si="79"/>
        <v>0</v>
      </c>
      <c r="K253" s="55">
        <f t="shared" si="79"/>
        <v>0</v>
      </c>
      <c r="L253" s="55">
        <f t="shared" si="79"/>
        <v>17850</v>
      </c>
      <c r="M253" s="55">
        <f t="shared" si="79"/>
        <v>0</v>
      </c>
      <c r="N253" s="55">
        <f t="shared" si="79"/>
        <v>0</v>
      </c>
      <c r="O253" s="55">
        <f t="shared" si="79"/>
        <v>0</v>
      </c>
      <c r="P253" s="55">
        <f t="shared" si="79"/>
        <v>112931.14</v>
      </c>
      <c r="Q253" s="56">
        <f t="shared" si="79"/>
        <v>0</v>
      </c>
      <c r="R253" s="33">
        <v>220295</v>
      </c>
      <c r="S253" s="33">
        <f>192713.35+8637.12</f>
        <v>201350.47</v>
      </c>
      <c r="T253" s="127">
        <f>S253*100/R253</f>
        <v>91.400381306883958</v>
      </c>
    </row>
    <row r="254" spans="1:20" outlineLevel="1" x14ac:dyDescent="0.25">
      <c r="A254" s="4" t="s">
        <v>238</v>
      </c>
      <c r="B254" s="75" t="s">
        <v>339</v>
      </c>
      <c r="C254" s="25"/>
      <c r="D254" s="92">
        <v>1</v>
      </c>
      <c r="E254" s="110">
        <v>220295</v>
      </c>
      <c r="F254" s="93">
        <f t="shared" ref="F254:F263" si="80">D254*E254</f>
        <v>220295</v>
      </c>
      <c r="G254" s="74">
        <f t="shared" si="61"/>
        <v>0</v>
      </c>
      <c r="H254" s="95">
        <f t="shared" si="77"/>
        <v>220295</v>
      </c>
      <c r="I254" s="112">
        <f>F254-P254-10000-5173-2677</f>
        <v>89513.86</v>
      </c>
      <c r="J254" s="57"/>
      <c r="K254" s="57"/>
      <c r="L254" s="57">
        <v>17850</v>
      </c>
      <c r="M254" s="57"/>
      <c r="N254" s="57"/>
      <c r="O254" s="57"/>
      <c r="P254" s="68">
        <f>(F163+F205+F226+F348+F368+F391+F424+F444+F471+F491+F508+F570)*0.7</f>
        <v>112931.14</v>
      </c>
      <c r="Q254" s="58"/>
      <c r="R254" s="76"/>
      <c r="S254" s="76"/>
      <c r="T254" s="128"/>
    </row>
    <row r="255" spans="1:20" outlineLevel="1" x14ac:dyDescent="0.25">
      <c r="A255" s="4" t="s">
        <v>239</v>
      </c>
      <c r="B255" s="75" t="s">
        <v>646</v>
      </c>
      <c r="C255" s="25"/>
      <c r="D255" s="92"/>
      <c r="E255" s="110"/>
      <c r="F255" s="93">
        <f t="shared" si="80"/>
        <v>0</v>
      </c>
      <c r="G255" s="74">
        <f t="shared" si="61"/>
        <v>0</v>
      </c>
      <c r="H255" s="95">
        <f t="shared" si="77"/>
        <v>0</v>
      </c>
      <c r="I255" s="112"/>
      <c r="J255" s="57"/>
      <c r="K255" s="57"/>
      <c r="L255" s="57"/>
      <c r="M255" s="57"/>
      <c r="N255" s="57"/>
      <c r="O255" s="57"/>
      <c r="P255" s="68"/>
      <c r="Q255" s="58"/>
      <c r="R255" s="76"/>
      <c r="S255" s="76"/>
      <c r="T255" s="128"/>
    </row>
    <row r="256" spans="1:20" s="3" customFormat="1" ht="15.75" x14ac:dyDescent="0.25">
      <c r="A256" s="7" t="s">
        <v>240</v>
      </c>
      <c r="B256" s="13" t="s">
        <v>340</v>
      </c>
      <c r="C256" s="23"/>
      <c r="D256" s="24"/>
      <c r="E256" s="17"/>
      <c r="F256" s="82">
        <f t="shared" ref="F256:Q256" si="81">SUM(F257:F258)</f>
        <v>35539</v>
      </c>
      <c r="G256" s="89">
        <f t="shared" si="61"/>
        <v>0</v>
      </c>
      <c r="H256" s="18">
        <f t="shared" si="77"/>
        <v>35539</v>
      </c>
      <c r="I256" s="54">
        <f t="shared" si="81"/>
        <v>35539</v>
      </c>
      <c r="J256" s="55">
        <f t="shared" si="81"/>
        <v>0</v>
      </c>
      <c r="K256" s="55">
        <f t="shared" si="81"/>
        <v>0</v>
      </c>
      <c r="L256" s="55">
        <f t="shared" si="81"/>
        <v>0</v>
      </c>
      <c r="M256" s="55">
        <f t="shared" si="81"/>
        <v>0</v>
      </c>
      <c r="N256" s="55">
        <f t="shared" si="81"/>
        <v>0</v>
      </c>
      <c r="O256" s="55">
        <f t="shared" si="81"/>
        <v>0</v>
      </c>
      <c r="P256" s="55">
        <f t="shared" si="81"/>
        <v>0</v>
      </c>
      <c r="Q256" s="56">
        <f t="shared" si="81"/>
        <v>0</v>
      </c>
      <c r="R256" s="33">
        <v>35539</v>
      </c>
      <c r="S256" s="33">
        <f>31491.29+1297.79</f>
        <v>32789.08</v>
      </c>
      <c r="T256" s="127">
        <f>S256*100/R256</f>
        <v>92.262247108810044</v>
      </c>
    </row>
    <row r="257" spans="1:20" outlineLevel="1" x14ac:dyDescent="0.25">
      <c r="A257" s="4" t="s">
        <v>241</v>
      </c>
      <c r="B257" s="75" t="s">
        <v>645</v>
      </c>
      <c r="C257" s="25"/>
      <c r="D257" s="92">
        <v>1</v>
      </c>
      <c r="E257" s="110">
        <v>35539</v>
      </c>
      <c r="F257" s="93">
        <f t="shared" si="80"/>
        <v>35539</v>
      </c>
      <c r="G257" s="74">
        <f t="shared" si="61"/>
        <v>0</v>
      </c>
      <c r="H257" s="95">
        <f t="shared" si="77"/>
        <v>35539</v>
      </c>
      <c r="I257" s="112">
        <f>F257</f>
        <v>35539</v>
      </c>
      <c r="J257" s="57"/>
      <c r="K257" s="57"/>
      <c r="L257" s="57"/>
      <c r="M257" s="57"/>
      <c r="N257" s="57"/>
      <c r="O257" s="57"/>
      <c r="P257" s="68"/>
      <c r="Q257" s="58"/>
      <c r="R257" s="76"/>
      <c r="S257" s="76"/>
      <c r="T257" s="128"/>
    </row>
    <row r="258" spans="1:20" outlineLevel="1" x14ac:dyDescent="0.25">
      <c r="A258" s="4" t="s">
        <v>242</v>
      </c>
      <c r="B258" s="75" t="s">
        <v>642</v>
      </c>
      <c r="C258" s="25"/>
      <c r="D258" s="92"/>
      <c r="E258" s="110"/>
      <c r="F258" s="93">
        <f t="shared" si="80"/>
        <v>0</v>
      </c>
      <c r="G258" s="74">
        <f t="shared" si="61"/>
        <v>0</v>
      </c>
      <c r="H258" s="95">
        <f t="shared" si="77"/>
        <v>0</v>
      </c>
      <c r="I258" s="112"/>
      <c r="J258" s="57"/>
      <c r="K258" s="57"/>
      <c r="L258" s="57"/>
      <c r="M258" s="57"/>
      <c r="N258" s="57"/>
      <c r="O258" s="57"/>
      <c r="P258" s="68"/>
      <c r="Q258" s="58"/>
      <c r="R258" s="76"/>
      <c r="S258" s="76"/>
      <c r="T258" s="128"/>
    </row>
    <row r="259" spans="1:20" s="3" customFormat="1" ht="15.75" x14ac:dyDescent="0.25">
      <c r="A259" s="7" t="s">
        <v>243</v>
      </c>
      <c r="B259" s="13" t="s">
        <v>341</v>
      </c>
      <c r="C259" s="23"/>
      <c r="D259" s="24"/>
      <c r="E259" s="17"/>
      <c r="F259" s="82">
        <f t="shared" ref="F259:Q259" si="82">SUM(F260:F263)</f>
        <v>45460</v>
      </c>
      <c r="G259" s="89">
        <f t="shared" si="61"/>
        <v>0</v>
      </c>
      <c r="H259" s="18">
        <f t="shared" si="77"/>
        <v>45460</v>
      </c>
      <c r="I259" s="54">
        <f t="shared" si="82"/>
        <v>45460</v>
      </c>
      <c r="J259" s="55">
        <f t="shared" si="82"/>
        <v>0</v>
      </c>
      <c r="K259" s="55">
        <f t="shared" si="82"/>
        <v>0</v>
      </c>
      <c r="L259" s="55">
        <f t="shared" si="82"/>
        <v>0</v>
      </c>
      <c r="M259" s="55">
        <f t="shared" si="82"/>
        <v>0</v>
      </c>
      <c r="N259" s="55">
        <f t="shared" si="82"/>
        <v>0</v>
      </c>
      <c r="O259" s="55">
        <f t="shared" si="82"/>
        <v>0</v>
      </c>
      <c r="P259" s="55">
        <f t="shared" si="82"/>
        <v>0</v>
      </c>
      <c r="Q259" s="56">
        <f t="shared" si="82"/>
        <v>0</v>
      </c>
      <c r="R259" s="33">
        <f>41260+4200</f>
        <v>45460</v>
      </c>
      <c r="S259" s="33">
        <f>28453.36+224.96+8767.39+3100</f>
        <v>40545.71</v>
      </c>
      <c r="T259" s="127">
        <f>S259*100/R259</f>
        <v>89.189859216893979</v>
      </c>
    </row>
    <row r="260" spans="1:20" outlineLevel="1" x14ac:dyDescent="0.25">
      <c r="A260" s="4" t="s">
        <v>244</v>
      </c>
      <c r="B260" s="75" t="s">
        <v>643</v>
      </c>
      <c r="C260" s="25"/>
      <c r="D260" s="92">
        <v>1</v>
      </c>
      <c r="E260" s="110">
        <v>16000</v>
      </c>
      <c r="F260" s="93">
        <f t="shared" si="80"/>
        <v>16000</v>
      </c>
      <c r="G260" s="74">
        <f t="shared" si="61"/>
        <v>0</v>
      </c>
      <c r="H260" s="95">
        <f t="shared" si="77"/>
        <v>16000</v>
      </c>
      <c r="I260" s="112">
        <f>F260</f>
        <v>16000</v>
      </c>
      <c r="J260" s="57"/>
      <c r="K260" s="57"/>
      <c r="L260" s="57"/>
      <c r="M260" s="57"/>
      <c r="N260" s="57"/>
      <c r="O260" s="57"/>
      <c r="P260" s="68"/>
      <c r="Q260" s="58"/>
      <c r="R260" s="76"/>
      <c r="S260" s="76"/>
      <c r="T260" s="128"/>
    </row>
    <row r="261" spans="1:20" outlineLevel="1" x14ac:dyDescent="0.25">
      <c r="A261" s="4" t="s">
        <v>245</v>
      </c>
      <c r="B261" s="75" t="s">
        <v>644</v>
      </c>
      <c r="C261" s="25"/>
      <c r="D261" s="92">
        <v>1</v>
      </c>
      <c r="E261" s="110">
        <v>15200</v>
      </c>
      <c r="F261" s="93">
        <f t="shared" si="80"/>
        <v>15200</v>
      </c>
      <c r="G261" s="74">
        <f t="shared" si="61"/>
        <v>0</v>
      </c>
      <c r="H261" s="95">
        <f t="shared" si="77"/>
        <v>15200</v>
      </c>
      <c r="I261" s="112">
        <f>F261</f>
        <v>15200</v>
      </c>
      <c r="J261" s="57"/>
      <c r="K261" s="57"/>
      <c r="L261" s="57"/>
      <c r="M261" s="57"/>
      <c r="N261" s="57"/>
      <c r="O261" s="57"/>
      <c r="P261" s="68"/>
      <c r="Q261" s="58"/>
      <c r="R261" s="76"/>
      <c r="S261" s="76"/>
      <c r="T261" s="128"/>
    </row>
    <row r="262" spans="1:20" outlineLevel="1" x14ac:dyDescent="0.25">
      <c r="A262" s="4" t="s">
        <v>647</v>
      </c>
      <c r="B262" s="75" t="s">
        <v>641</v>
      </c>
      <c r="C262" s="25"/>
      <c r="D262" s="92">
        <v>1</v>
      </c>
      <c r="E262" s="110">
        <v>10000</v>
      </c>
      <c r="F262" s="93">
        <f t="shared" si="80"/>
        <v>10000</v>
      </c>
      <c r="G262" s="74"/>
      <c r="H262" s="95"/>
      <c r="I262" s="112">
        <v>10000</v>
      </c>
      <c r="J262" s="57"/>
      <c r="K262" s="57"/>
      <c r="L262" s="57"/>
      <c r="M262" s="57"/>
      <c r="N262" s="57"/>
      <c r="O262" s="57"/>
      <c r="P262" s="68"/>
      <c r="Q262" s="58"/>
      <c r="R262" s="76"/>
      <c r="S262" s="76"/>
      <c r="T262" s="128"/>
    </row>
    <row r="263" spans="1:20" outlineLevel="1" x14ac:dyDescent="0.25">
      <c r="A263" s="4" t="s">
        <v>959</v>
      </c>
      <c r="B263" s="75" t="s">
        <v>894</v>
      </c>
      <c r="C263" s="25"/>
      <c r="D263" s="92">
        <v>1</v>
      </c>
      <c r="E263" s="110">
        <v>4260</v>
      </c>
      <c r="F263" s="93">
        <f t="shared" si="80"/>
        <v>4260</v>
      </c>
      <c r="G263" s="74">
        <f t="shared" si="61"/>
        <v>0</v>
      </c>
      <c r="H263" s="95">
        <f t="shared" si="77"/>
        <v>4260</v>
      </c>
      <c r="I263" s="112">
        <f>F263</f>
        <v>4260</v>
      </c>
      <c r="J263" s="57"/>
      <c r="K263" s="57"/>
      <c r="L263" s="57"/>
      <c r="M263" s="57"/>
      <c r="N263" s="57"/>
      <c r="O263" s="57"/>
      <c r="P263" s="68"/>
      <c r="Q263" s="58"/>
      <c r="R263" s="76"/>
      <c r="S263" s="76"/>
      <c r="T263" s="128"/>
    </row>
    <row r="264" spans="1:20" s="2" customFormat="1" ht="21" x14ac:dyDescent="0.35">
      <c r="A264" s="8" t="s">
        <v>246</v>
      </c>
      <c r="B264" s="12" t="s">
        <v>522</v>
      </c>
      <c r="C264" s="21"/>
      <c r="D264" s="22"/>
      <c r="E264" s="22"/>
      <c r="F264" s="84">
        <f>F265+F270+F274+F277+F282+F287+F290+F293+F296+F300+F305+F306+F307+F308+F309+F310+F311+F312+F313+F314+F315+F316</f>
        <v>49864.999999999993</v>
      </c>
      <c r="G264" s="89">
        <f t="shared" ref="G264:G316" si="83">H264-F264</f>
        <v>-5.9999999866704457E-3</v>
      </c>
      <c r="H264" s="16">
        <f t="shared" si="77"/>
        <v>49864.994000000006</v>
      </c>
      <c r="I264" s="51">
        <f t="shared" ref="I264:S264" si="84">I265+I270+I274+I277+I282+I287+I290+I293+I296+I300+I305+I306+I307+I308+I309+I310+I311+I312+I313+I314+I315+I316</f>
        <v>40900.002000000008</v>
      </c>
      <c r="J264" s="52">
        <f t="shared" si="84"/>
        <v>4500</v>
      </c>
      <c r="K264" s="52">
        <f t="shared" si="84"/>
        <v>4464.9919999999993</v>
      </c>
      <c r="L264" s="52">
        <f t="shared" si="84"/>
        <v>0</v>
      </c>
      <c r="M264" s="52">
        <f t="shared" si="84"/>
        <v>0</v>
      </c>
      <c r="N264" s="52">
        <f t="shared" si="84"/>
        <v>0</v>
      </c>
      <c r="O264" s="52">
        <f t="shared" si="84"/>
        <v>0</v>
      </c>
      <c r="P264" s="52">
        <f t="shared" si="84"/>
        <v>0</v>
      </c>
      <c r="Q264" s="53">
        <f t="shared" si="84"/>
        <v>0</v>
      </c>
      <c r="R264" s="32">
        <f t="shared" si="84"/>
        <v>68044</v>
      </c>
      <c r="S264" s="32">
        <f t="shared" si="84"/>
        <v>50009.369999999995</v>
      </c>
      <c r="T264" s="126">
        <f>S264*100/R264</f>
        <v>73.495635177238256</v>
      </c>
    </row>
    <row r="265" spans="1:20" s="3" customFormat="1" ht="15.75" x14ac:dyDescent="0.25">
      <c r="A265" s="7" t="s">
        <v>252</v>
      </c>
      <c r="B265" s="13" t="s">
        <v>497</v>
      </c>
      <c r="C265" s="23"/>
      <c r="D265" s="24"/>
      <c r="E265" s="17"/>
      <c r="F265" s="82">
        <f>SUM(F266:F269)</f>
        <v>1550</v>
      </c>
      <c r="G265" s="89">
        <f t="shared" si="83"/>
        <v>0</v>
      </c>
      <c r="H265" s="18">
        <f t="shared" si="77"/>
        <v>1550</v>
      </c>
      <c r="I265" s="54">
        <f t="shared" ref="I265:Q265" si="85">SUM(I266:I269)</f>
        <v>1550</v>
      </c>
      <c r="J265" s="55">
        <f t="shared" si="85"/>
        <v>0</v>
      </c>
      <c r="K265" s="55">
        <f t="shared" si="85"/>
        <v>0</v>
      </c>
      <c r="L265" s="55">
        <f t="shared" si="85"/>
        <v>0</v>
      </c>
      <c r="M265" s="55">
        <f>SUM(M266:M269)</f>
        <v>0</v>
      </c>
      <c r="N265" s="55">
        <f t="shared" si="85"/>
        <v>0</v>
      </c>
      <c r="O265" s="55">
        <f t="shared" si="85"/>
        <v>0</v>
      </c>
      <c r="P265" s="55">
        <f t="shared" si="85"/>
        <v>0</v>
      </c>
      <c r="Q265" s="56">
        <f t="shared" si="85"/>
        <v>0</v>
      </c>
      <c r="R265" s="33">
        <v>1300</v>
      </c>
      <c r="S265" s="33">
        <v>1009.59</v>
      </c>
      <c r="T265" s="127">
        <f>S265*100/R265</f>
        <v>77.660769230769233</v>
      </c>
    </row>
    <row r="266" spans="1:20" outlineLevel="1" x14ac:dyDescent="0.25">
      <c r="A266" s="4" t="s">
        <v>253</v>
      </c>
      <c r="B266" s="75" t="s">
        <v>97</v>
      </c>
      <c r="C266" s="25" t="s">
        <v>98</v>
      </c>
      <c r="D266" s="92">
        <v>1</v>
      </c>
      <c r="E266" s="110">
        <v>1000</v>
      </c>
      <c r="F266" s="93">
        <f>+D266*E266</f>
        <v>1000</v>
      </c>
      <c r="G266" s="74">
        <f t="shared" si="83"/>
        <v>0</v>
      </c>
      <c r="H266" s="95">
        <f t="shared" si="77"/>
        <v>1000</v>
      </c>
      <c r="I266" s="112">
        <v>1000</v>
      </c>
      <c r="J266" s="57"/>
      <c r="K266" s="57"/>
      <c r="L266" s="57"/>
      <c r="M266" s="57"/>
      <c r="N266" s="57"/>
      <c r="O266" s="57"/>
      <c r="P266" s="68"/>
      <c r="Q266" s="58"/>
      <c r="R266" s="76"/>
      <c r="S266" s="76"/>
      <c r="T266" s="128"/>
    </row>
    <row r="267" spans="1:20" outlineLevel="1" x14ac:dyDescent="0.25">
      <c r="A267" s="4" t="s">
        <v>254</v>
      </c>
      <c r="B267" s="75" t="s">
        <v>96</v>
      </c>
      <c r="C267" s="25" t="s">
        <v>99</v>
      </c>
      <c r="D267" s="92">
        <v>0</v>
      </c>
      <c r="E267" s="110">
        <v>0</v>
      </c>
      <c r="F267" s="93">
        <f>D267*E267</f>
        <v>0</v>
      </c>
      <c r="G267" s="74">
        <f t="shared" si="83"/>
        <v>0</v>
      </c>
      <c r="H267" s="95">
        <f t="shared" si="77"/>
        <v>0</v>
      </c>
      <c r="I267" s="112">
        <v>0</v>
      </c>
      <c r="J267" s="57"/>
      <c r="K267" s="57"/>
      <c r="L267" s="57"/>
      <c r="M267" s="57"/>
      <c r="N267" s="57"/>
      <c r="O267" s="57"/>
      <c r="P267" s="68"/>
      <c r="Q267" s="58"/>
      <c r="R267" s="76"/>
      <c r="S267" s="76"/>
      <c r="T267" s="128"/>
    </row>
    <row r="268" spans="1:20" outlineLevel="1" x14ac:dyDescent="0.25">
      <c r="A268" s="4" t="s">
        <v>255</v>
      </c>
      <c r="B268" s="75" t="s">
        <v>521</v>
      </c>
      <c r="C268" s="25" t="s">
        <v>100</v>
      </c>
      <c r="D268" s="92">
        <v>3</v>
      </c>
      <c r="E268" s="110">
        <v>150</v>
      </c>
      <c r="F268" s="93">
        <f>D268*E268</f>
        <v>450</v>
      </c>
      <c r="G268" s="74">
        <f t="shared" si="83"/>
        <v>0</v>
      </c>
      <c r="H268" s="95">
        <f t="shared" si="77"/>
        <v>450</v>
      </c>
      <c r="I268" s="112">
        <v>450</v>
      </c>
      <c r="J268" s="57"/>
      <c r="K268" s="57"/>
      <c r="L268" s="57"/>
      <c r="M268" s="57"/>
      <c r="N268" s="57"/>
      <c r="O268" s="57"/>
      <c r="P268" s="68"/>
      <c r="Q268" s="58"/>
      <c r="R268" s="76"/>
      <c r="S268" s="76"/>
      <c r="T268" s="128"/>
    </row>
    <row r="269" spans="1:20" outlineLevel="1" x14ac:dyDescent="0.25">
      <c r="A269" s="4" t="s">
        <v>256</v>
      </c>
      <c r="B269" s="75" t="s">
        <v>95</v>
      </c>
      <c r="C269" s="25" t="s">
        <v>98</v>
      </c>
      <c r="D269" s="92">
        <v>1</v>
      </c>
      <c r="E269" s="110">
        <v>100</v>
      </c>
      <c r="F269" s="93">
        <f>D269*E269</f>
        <v>100</v>
      </c>
      <c r="G269" s="74">
        <f t="shared" si="83"/>
        <v>0</v>
      </c>
      <c r="H269" s="95">
        <f t="shared" si="77"/>
        <v>100</v>
      </c>
      <c r="I269" s="112">
        <v>100</v>
      </c>
      <c r="J269" s="57"/>
      <c r="K269" s="57"/>
      <c r="L269" s="57"/>
      <c r="M269" s="57"/>
      <c r="N269" s="57"/>
      <c r="O269" s="57"/>
      <c r="P269" s="68"/>
      <c r="Q269" s="58"/>
      <c r="R269" s="76"/>
      <c r="S269" s="76"/>
      <c r="T269" s="128"/>
    </row>
    <row r="270" spans="1:20" s="3" customFormat="1" ht="15.75" x14ac:dyDescent="0.25">
      <c r="A270" s="7" t="s">
        <v>257</v>
      </c>
      <c r="B270" s="13" t="s">
        <v>498</v>
      </c>
      <c r="C270" s="23"/>
      <c r="D270" s="24"/>
      <c r="E270" s="17"/>
      <c r="F270" s="82">
        <f>SUM(F271:F273)</f>
        <v>3500</v>
      </c>
      <c r="G270" s="89">
        <f t="shared" si="83"/>
        <v>0</v>
      </c>
      <c r="H270" s="18">
        <f t="shared" si="77"/>
        <v>3500</v>
      </c>
      <c r="I270" s="54">
        <f t="shared" ref="I270:Q270" si="86">SUM(I271:I273)</f>
        <v>3500</v>
      </c>
      <c r="J270" s="55">
        <f t="shared" si="86"/>
        <v>0</v>
      </c>
      <c r="K270" s="55">
        <f t="shared" si="86"/>
        <v>0</v>
      </c>
      <c r="L270" s="55">
        <f t="shared" si="86"/>
        <v>0</v>
      </c>
      <c r="M270" s="55">
        <f t="shared" si="86"/>
        <v>0</v>
      </c>
      <c r="N270" s="55">
        <f t="shared" si="86"/>
        <v>0</v>
      </c>
      <c r="O270" s="55">
        <f t="shared" si="86"/>
        <v>0</v>
      </c>
      <c r="P270" s="55">
        <f t="shared" si="86"/>
        <v>0</v>
      </c>
      <c r="Q270" s="56">
        <f t="shared" si="86"/>
        <v>0</v>
      </c>
      <c r="R270" s="33">
        <v>3440</v>
      </c>
      <c r="S270" s="33">
        <v>4172.66</v>
      </c>
      <c r="T270" s="127">
        <f>S270*100/R270</f>
        <v>121.29825581395349</v>
      </c>
    </row>
    <row r="271" spans="1:20" outlineLevel="1" x14ac:dyDescent="0.25">
      <c r="A271" s="4" t="s">
        <v>258</v>
      </c>
      <c r="B271" s="75" t="s">
        <v>499</v>
      </c>
      <c r="C271" s="25" t="s">
        <v>102</v>
      </c>
      <c r="D271" s="92">
        <v>4</v>
      </c>
      <c r="E271" s="110">
        <v>750</v>
      </c>
      <c r="F271" s="93">
        <f>D271*E271</f>
        <v>3000</v>
      </c>
      <c r="G271" s="74">
        <f t="shared" si="83"/>
        <v>0</v>
      </c>
      <c r="H271" s="95">
        <f t="shared" si="77"/>
        <v>3000</v>
      </c>
      <c r="I271" s="112">
        <v>3000</v>
      </c>
      <c r="J271" s="57"/>
      <c r="K271" s="57"/>
      <c r="L271" s="57"/>
      <c r="M271" s="57"/>
      <c r="N271" s="57"/>
      <c r="O271" s="57"/>
      <c r="P271" s="68"/>
      <c r="Q271" s="58"/>
      <c r="R271" s="76"/>
      <c r="S271" s="76"/>
      <c r="T271" s="128"/>
    </row>
    <row r="272" spans="1:20" outlineLevel="1" x14ac:dyDescent="0.25">
      <c r="A272" s="4" t="s">
        <v>259</v>
      </c>
      <c r="B272" s="75" t="s">
        <v>500</v>
      </c>
      <c r="C272" s="25" t="s">
        <v>103</v>
      </c>
      <c r="D272" s="92">
        <v>0</v>
      </c>
      <c r="E272" s="110">
        <v>0</v>
      </c>
      <c r="F272" s="93">
        <f>D272*E272</f>
        <v>0</v>
      </c>
      <c r="G272" s="74">
        <f t="shared" si="83"/>
        <v>0</v>
      </c>
      <c r="H272" s="95">
        <f t="shared" si="77"/>
        <v>0</v>
      </c>
      <c r="I272" s="112">
        <v>0</v>
      </c>
      <c r="J272" s="57"/>
      <c r="K272" s="57"/>
      <c r="L272" s="57"/>
      <c r="M272" s="57"/>
      <c r="N272" s="57"/>
      <c r="O272" s="57"/>
      <c r="P272" s="68"/>
      <c r="Q272" s="58"/>
      <c r="R272" s="76"/>
      <c r="S272" s="76"/>
      <c r="T272" s="128"/>
    </row>
    <row r="273" spans="1:20" outlineLevel="1" x14ac:dyDescent="0.25">
      <c r="A273" s="4" t="s">
        <v>260</v>
      </c>
      <c r="B273" s="75" t="s">
        <v>47</v>
      </c>
      <c r="C273" s="25"/>
      <c r="D273" s="92">
        <v>1</v>
      </c>
      <c r="E273" s="110">
        <v>500</v>
      </c>
      <c r="F273" s="93">
        <f>D273*E273</f>
        <v>500</v>
      </c>
      <c r="G273" s="74">
        <f t="shared" si="83"/>
        <v>0</v>
      </c>
      <c r="H273" s="95">
        <f t="shared" si="77"/>
        <v>500</v>
      </c>
      <c r="I273" s="112">
        <v>500</v>
      </c>
      <c r="J273" s="57"/>
      <c r="K273" s="57"/>
      <c r="L273" s="57"/>
      <c r="M273" s="57"/>
      <c r="N273" s="57"/>
      <c r="O273" s="57"/>
      <c r="P273" s="68"/>
      <c r="Q273" s="58"/>
      <c r="R273" s="76"/>
      <c r="S273" s="76"/>
      <c r="T273" s="128"/>
    </row>
    <row r="274" spans="1:20" s="3" customFormat="1" ht="15.75" x14ac:dyDescent="0.25">
      <c r="A274" s="7" t="s">
        <v>590</v>
      </c>
      <c r="B274" s="13" t="s">
        <v>519</v>
      </c>
      <c r="C274" s="23"/>
      <c r="D274" s="24"/>
      <c r="E274" s="17"/>
      <c r="F274" s="82">
        <f>SUM(F275:F276)</f>
        <v>400</v>
      </c>
      <c r="G274" s="89">
        <f t="shared" si="83"/>
        <v>0</v>
      </c>
      <c r="H274" s="18">
        <f t="shared" si="77"/>
        <v>400</v>
      </c>
      <c r="I274" s="54">
        <f t="shared" ref="I274:Q274" si="87">SUM(I275:I276)</f>
        <v>400</v>
      </c>
      <c r="J274" s="55">
        <f t="shared" si="87"/>
        <v>0</v>
      </c>
      <c r="K274" s="55">
        <f t="shared" si="87"/>
        <v>0</v>
      </c>
      <c r="L274" s="55">
        <f t="shared" si="87"/>
        <v>0</v>
      </c>
      <c r="M274" s="55">
        <f t="shared" si="87"/>
        <v>0</v>
      </c>
      <c r="N274" s="55">
        <f t="shared" si="87"/>
        <v>0</v>
      </c>
      <c r="O274" s="55">
        <f t="shared" si="87"/>
        <v>0</v>
      </c>
      <c r="P274" s="55">
        <f t="shared" si="87"/>
        <v>0</v>
      </c>
      <c r="Q274" s="56">
        <f t="shared" si="87"/>
        <v>0</v>
      </c>
      <c r="R274" s="72">
        <v>1000</v>
      </c>
      <c r="S274" s="33">
        <v>335.4</v>
      </c>
      <c r="T274" s="127">
        <f>S274*100/R274</f>
        <v>33.54</v>
      </c>
    </row>
    <row r="275" spans="1:20" outlineLevel="1" x14ac:dyDescent="0.25">
      <c r="A275" s="4" t="s">
        <v>262</v>
      </c>
      <c r="B275" s="75" t="s">
        <v>520</v>
      </c>
      <c r="C275" s="25" t="s">
        <v>102</v>
      </c>
      <c r="D275" s="92">
        <v>4</v>
      </c>
      <c r="E275" s="110">
        <v>100</v>
      </c>
      <c r="F275" s="93">
        <f>D275*E275</f>
        <v>400</v>
      </c>
      <c r="G275" s="74">
        <f t="shared" si="83"/>
        <v>0</v>
      </c>
      <c r="H275" s="95">
        <f t="shared" si="77"/>
        <v>400</v>
      </c>
      <c r="I275" s="112">
        <v>400</v>
      </c>
      <c r="J275" s="57"/>
      <c r="K275" s="57"/>
      <c r="L275" s="57"/>
      <c r="M275" s="57"/>
      <c r="N275" s="57"/>
      <c r="O275" s="57"/>
      <c r="P275" s="68"/>
      <c r="Q275" s="58"/>
      <c r="R275" s="76"/>
      <c r="S275" s="76"/>
      <c r="T275" s="128"/>
    </row>
    <row r="276" spans="1:20" outlineLevel="1" x14ac:dyDescent="0.25">
      <c r="A276" s="4" t="s">
        <v>263</v>
      </c>
      <c r="B276" s="75" t="s">
        <v>903</v>
      </c>
      <c r="C276" s="25"/>
      <c r="D276" s="92">
        <v>0</v>
      </c>
      <c r="E276" s="110">
        <v>0</v>
      </c>
      <c r="F276" s="93">
        <f>D276*E276</f>
        <v>0</v>
      </c>
      <c r="G276" s="74">
        <f t="shared" si="83"/>
        <v>0</v>
      </c>
      <c r="H276" s="95">
        <f t="shared" si="77"/>
        <v>0</v>
      </c>
      <c r="I276" s="112">
        <v>0</v>
      </c>
      <c r="J276" s="57"/>
      <c r="K276" s="57"/>
      <c r="L276" s="57"/>
      <c r="M276" s="57"/>
      <c r="N276" s="57"/>
      <c r="O276" s="57"/>
      <c r="P276" s="68"/>
      <c r="Q276" s="58"/>
      <c r="R276" s="76"/>
      <c r="S276" s="76"/>
      <c r="T276" s="128"/>
    </row>
    <row r="277" spans="1:20" s="3" customFormat="1" ht="15.75" x14ac:dyDescent="0.25">
      <c r="A277" s="7" t="s">
        <v>261</v>
      </c>
      <c r="B277" s="13" t="s">
        <v>501</v>
      </c>
      <c r="C277" s="23"/>
      <c r="D277" s="24"/>
      <c r="E277" s="17"/>
      <c r="F277" s="82">
        <f>SUM(F278:F281)</f>
        <v>13500</v>
      </c>
      <c r="G277" s="89">
        <f t="shared" si="83"/>
        <v>0</v>
      </c>
      <c r="H277" s="18">
        <f t="shared" si="77"/>
        <v>13500</v>
      </c>
      <c r="I277" s="54">
        <f t="shared" ref="I277:Q277" si="88">SUM(I278:I281)</f>
        <v>13500</v>
      </c>
      <c r="J277" s="55">
        <f t="shared" si="88"/>
        <v>0</v>
      </c>
      <c r="K277" s="55">
        <f t="shared" si="88"/>
        <v>0</v>
      </c>
      <c r="L277" s="55">
        <f t="shared" si="88"/>
        <v>0</v>
      </c>
      <c r="M277" s="55">
        <f t="shared" si="88"/>
        <v>0</v>
      </c>
      <c r="N277" s="55">
        <f t="shared" si="88"/>
        <v>0</v>
      </c>
      <c r="O277" s="55">
        <f t="shared" si="88"/>
        <v>0</v>
      </c>
      <c r="P277" s="55">
        <f t="shared" si="88"/>
        <v>0</v>
      </c>
      <c r="Q277" s="56">
        <f t="shared" si="88"/>
        <v>0</v>
      </c>
      <c r="R277" s="33">
        <f>10000+6000</f>
        <v>16000</v>
      </c>
      <c r="S277" s="33">
        <f>7273.08+5871.01</f>
        <v>13144.09</v>
      </c>
      <c r="T277" s="127">
        <f>S277*100/R277</f>
        <v>82.150562500000007</v>
      </c>
    </row>
    <row r="278" spans="1:20" outlineLevel="1" x14ac:dyDescent="0.25">
      <c r="A278" s="4" t="s">
        <v>262</v>
      </c>
      <c r="B278" s="75" t="s">
        <v>502</v>
      </c>
      <c r="C278" s="25" t="s">
        <v>104</v>
      </c>
      <c r="D278" s="92">
        <v>20</v>
      </c>
      <c r="E278" s="110">
        <v>100</v>
      </c>
      <c r="F278" s="93">
        <f>D278*E278</f>
        <v>2000</v>
      </c>
      <c r="G278" s="74">
        <f t="shared" si="83"/>
        <v>0</v>
      </c>
      <c r="H278" s="95">
        <f t="shared" si="77"/>
        <v>2000</v>
      </c>
      <c r="I278" s="112">
        <v>2000</v>
      </c>
      <c r="J278" s="57"/>
      <c r="K278" s="57"/>
      <c r="L278" s="57"/>
      <c r="M278" s="57"/>
      <c r="N278" s="57"/>
      <c r="O278" s="57"/>
      <c r="P278" s="68"/>
      <c r="Q278" s="58"/>
      <c r="R278" s="76"/>
      <c r="S278" s="76"/>
      <c r="T278" s="128"/>
    </row>
    <row r="279" spans="1:20" outlineLevel="1" x14ac:dyDescent="0.25">
      <c r="A279" s="4" t="s">
        <v>263</v>
      </c>
      <c r="B279" s="75" t="s">
        <v>503</v>
      </c>
      <c r="C279" s="25"/>
      <c r="D279" s="92">
        <v>1</v>
      </c>
      <c r="E279" s="110">
        <v>6000</v>
      </c>
      <c r="F279" s="93">
        <f>D279*E279</f>
        <v>6000</v>
      </c>
      <c r="G279" s="74">
        <f t="shared" si="83"/>
        <v>0</v>
      </c>
      <c r="H279" s="95">
        <f t="shared" si="77"/>
        <v>6000</v>
      </c>
      <c r="I279" s="112">
        <v>6000</v>
      </c>
      <c r="J279" s="57"/>
      <c r="K279" s="57"/>
      <c r="L279" s="57"/>
      <c r="M279" s="57"/>
      <c r="N279" s="57"/>
      <c r="O279" s="57"/>
      <c r="P279" s="68"/>
      <c r="Q279" s="58"/>
      <c r="R279" s="76"/>
      <c r="S279" s="76"/>
      <c r="T279" s="128"/>
    </row>
    <row r="280" spans="1:20" outlineLevel="1" x14ac:dyDescent="0.25">
      <c r="A280" s="4" t="s">
        <v>273</v>
      </c>
      <c r="B280" s="75" t="s">
        <v>504</v>
      </c>
      <c r="C280" s="25"/>
      <c r="D280" s="92">
        <v>1</v>
      </c>
      <c r="E280" s="110">
        <v>5000</v>
      </c>
      <c r="F280" s="93">
        <f>D280*E280</f>
        <v>5000</v>
      </c>
      <c r="G280" s="74">
        <f t="shared" si="83"/>
        <v>0</v>
      </c>
      <c r="H280" s="95">
        <f t="shared" si="77"/>
        <v>5000</v>
      </c>
      <c r="I280" s="112">
        <v>5000</v>
      </c>
      <c r="J280" s="57"/>
      <c r="K280" s="57"/>
      <c r="L280" s="57"/>
      <c r="M280" s="57"/>
      <c r="N280" s="57"/>
      <c r="O280" s="57"/>
      <c r="P280" s="68"/>
      <c r="Q280" s="58"/>
      <c r="R280" s="76"/>
      <c r="S280" s="76"/>
      <c r="T280" s="128"/>
    </row>
    <row r="281" spans="1:20" outlineLevel="1" x14ac:dyDescent="0.25">
      <c r="A281" s="4" t="s">
        <v>264</v>
      </c>
      <c r="B281" s="75" t="s">
        <v>903</v>
      </c>
      <c r="C281" s="25"/>
      <c r="D281" s="92">
        <v>1</v>
      </c>
      <c r="E281" s="110">
        <v>500</v>
      </c>
      <c r="F281" s="93">
        <f>D281*E281</f>
        <v>500</v>
      </c>
      <c r="G281" s="74">
        <f t="shared" si="83"/>
        <v>0</v>
      </c>
      <c r="H281" s="95">
        <f t="shared" si="77"/>
        <v>500</v>
      </c>
      <c r="I281" s="112">
        <v>500</v>
      </c>
      <c r="J281" s="57"/>
      <c r="K281" s="57"/>
      <c r="L281" s="57"/>
      <c r="M281" s="57"/>
      <c r="N281" s="57"/>
      <c r="O281" s="57"/>
      <c r="P281" s="68"/>
      <c r="Q281" s="58"/>
      <c r="R281" s="76"/>
      <c r="S281" s="76"/>
      <c r="T281" s="128"/>
    </row>
    <row r="282" spans="1:20" s="3" customFormat="1" ht="15.75" x14ac:dyDescent="0.25">
      <c r="A282" s="7" t="s">
        <v>591</v>
      </c>
      <c r="B282" s="13" t="s">
        <v>515</v>
      </c>
      <c r="C282" s="23"/>
      <c r="D282" s="24"/>
      <c r="E282" s="17"/>
      <c r="F282" s="82">
        <f>SUM(F283:F286)</f>
        <v>6350</v>
      </c>
      <c r="G282" s="89">
        <f t="shared" si="83"/>
        <v>0</v>
      </c>
      <c r="H282" s="18">
        <f t="shared" si="77"/>
        <v>6350</v>
      </c>
      <c r="I282" s="54">
        <f t="shared" ref="I282:Q282" si="89">SUM(I283:I286)</f>
        <v>1850</v>
      </c>
      <c r="J282" s="55">
        <f t="shared" si="89"/>
        <v>4500</v>
      </c>
      <c r="K282" s="55">
        <f t="shared" si="89"/>
        <v>0</v>
      </c>
      <c r="L282" s="55">
        <f t="shared" si="89"/>
        <v>0</v>
      </c>
      <c r="M282" s="55">
        <f t="shared" si="89"/>
        <v>0</v>
      </c>
      <c r="N282" s="55">
        <f t="shared" si="89"/>
        <v>0</v>
      </c>
      <c r="O282" s="55">
        <f t="shared" si="89"/>
        <v>0</v>
      </c>
      <c r="P282" s="55">
        <f t="shared" si="89"/>
        <v>0</v>
      </c>
      <c r="Q282" s="56">
        <f t="shared" si="89"/>
        <v>0</v>
      </c>
      <c r="R282" s="72">
        <v>16475</v>
      </c>
      <c r="S282" s="33">
        <f>SUM(S283:S286)</f>
        <v>0</v>
      </c>
      <c r="T282" s="127">
        <f>S282*100/R282</f>
        <v>0</v>
      </c>
    </row>
    <row r="283" spans="1:20" outlineLevel="1" x14ac:dyDescent="0.25">
      <c r="A283" s="4" t="s">
        <v>274</v>
      </c>
      <c r="B283" s="75" t="s">
        <v>516</v>
      </c>
      <c r="C283" s="25" t="s">
        <v>102</v>
      </c>
      <c r="D283" s="92">
        <v>4</v>
      </c>
      <c r="E283" s="110">
        <v>150</v>
      </c>
      <c r="F283" s="93">
        <f>D283*E283</f>
        <v>600</v>
      </c>
      <c r="G283" s="74">
        <f t="shared" si="83"/>
        <v>0</v>
      </c>
      <c r="H283" s="95">
        <f t="shared" si="77"/>
        <v>600</v>
      </c>
      <c r="I283" s="112">
        <v>600</v>
      </c>
      <c r="J283" s="57"/>
      <c r="K283" s="57"/>
      <c r="L283" s="57"/>
      <c r="M283" s="57"/>
      <c r="N283" s="57"/>
      <c r="O283" s="57"/>
      <c r="P283" s="68"/>
      <c r="Q283" s="58"/>
      <c r="R283" s="76"/>
      <c r="S283" s="76"/>
      <c r="T283" s="128"/>
    </row>
    <row r="284" spans="1:20" outlineLevel="1" x14ac:dyDescent="0.25">
      <c r="A284" s="4" t="s">
        <v>275</v>
      </c>
      <c r="B284" s="75" t="s">
        <v>997</v>
      </c>
      <c r="C284" s="25"/>
      <c r="D284" s="92">
        <v>1</v>
      </c>
      <c r="E284" s="110">
        <v>4500</v>
      </c>
      <c r="F284" s="93">
        <f>D284*E284</f>
        <v>4500</v>
      </c>
      <c r="G284" s="74">
        <f>H284-F284</f>
        <v>0</v>
      </c>
      <c r="H284" s="95">
        <f>SUM(I284:Q284)</f>
        <v>4500</v>
      </c>
      <c r="I284" s="112"/>
      <c r="J284" s="57">
        <v>4500</v>
      </c>
      <c r="K284" s="57"/>
      <c r="L284" s="57"/>
      <c r="M284" s="57"/>
      <c r="N284" s="57"/>
      <c r="O284" s="57"/>
      <c r="P284" s="68"/>
      <c r="Q284" s="58"/>
      <c r="R284" s="76"/>
      <c r="S284" s="76"/>
      <c r="T284" s="128"/>
    </row>
    <row r="285" spans="1:20" outlineLevel="1" x14ac:dyDescent="0.25">
      <c r="A285" s="4" t="s">
        <v>276</v>
      </c>
      <c r="B285" s="75" t="s">
        <v>691</v>
      </c>
      <c r="C285" s="25"/>
      <c r="D285" s="92">
        <v>1</v>
      </c>
      <c r="E285" s="110">
        <v>1000</v>
      </c>
      <c r="F285" s="93">
        <f>D285*E285</f>
        <v>1000</v>
      </c>
      <c r="G285" s="74">
        <f>H285-F285</f>
        <v>0</v>
      </c>
      <c r="H285" s="95">
        <f>SUM(I285:Q285)</f>
        <v>1000</v>
      </c>
      <c r="I285" s="112">
        <v>1000</v>
      </c>
      <c r="J285" s="57"/>
      <c r="K285" s="57"/>
      <c r="L285" s="57"/>
      <c r="M285" s="57"/>
      <c r="N285" s="57"/>
      <c r="O285" s="57"/>
      <c r="P285" s="68"/>
      <c r="Q285" s="58"/>
      <c r="R285" s="76"/>
      <c r="S285" s="76"/>
      <c r="T285" s="128"/>
    </row>
    <row r="286" spans="1:20" outlineLevel="1" x14ac:dyDescent="0.25">
      <c r="A286" s="4" t="s">
        <v>277</v>
      </c>
      <c r="B286" s="75" t="s">
        <v>903</v>
      </c>
      <c r="C286" s="25"/>
      <c r="D286" s="92">
        <v>1</v>
      </c>
      <c r="E286" s="110">
        <v>250</v>
      </c>
      <c r="F286" s="93">
        <f>D286*E286</f>
        <v>250</v>
      </c>
      <c r="G286" s="74">
        <f t="shared" si="83"/>
        <v>0</v>
      </c>
      <c r="H286" s="95">
        <f t="shared" ref="H286:H316" si="90">SUM(I286:Q286)</f>
        <v>250</v>
      </c>
      <c r="I286" s="112">
        <v>250</v>
      </c>
      <c r="J286" s="57"/>
      <c r="K286" s="57"/>
      <c r="L286" s="57"/>
      <c r="M286" s="57"/>
      <c r="N286" s="57"/>
      <c r="O286" s="57"/>
      <c r="P286" s="68"/>
      <c r="Q286" s="58"/>
      <c r="R286" s="76"/>
      <c r="S286" s="76"/>
      <c r="T286" s="128"/>
    </row>
    <row r="287" spans="1:20" s="3" customFormat="1" ht="15.75" x14ac:dyDescent="0.25">
      <c r="A287" s="7" t="s">
        <v>592</v>
      </c>
      <c r="B287" s="13" t="s">
        <v>505</v>
      </c>
      <c r="C287" s="23"/>
      <c r="D287" s="24"/>
      <c r="E287" s="17"/>
      <c r="F287" s="82">
        <f>SUM(F288:F289)</f>
        <v>600</v>
      </c>
      <c r="G287" s="89">
        <f t="shared" si="83"/>
        <v>0</v>
      </c>
      <c r="H287" s="18">
        <f t="shared" si="90"/>
        <v>600</v>
      </c>
      <c r="I287" s="54">
        <f t="shared" ref="I287:Q287" si="91">SUM(I288:I289)</f>
        <v>600</v>
      </c>
      <c r="J287" s="55">
        <f t="shared" si="91"/>
        <v>0</v>
      </c>
      <c r="K287" s="55">
        <f t="shared" si="91"/>
        <v>0</v>
      </c>
      <c r="L287" s="55">
        <f t="shared" si="91"/>
        <v>0</v>
      </c>
      <c r="M287" s="55">
        <f t="shared" si="91"/>
        <v>0</v>
      </c>
      <c r="N287" s="55">
        <f t="shared" si="91"/>
        <v>0</v>
      </c>
      <c r="O287" s="55">
        <f t="shared" si="91"/>
        <v>0</v>
      </c>
      <c r="P287" s="55">
        <f t="shared" si="91"/>
        <v>0</v>
      </c>
      <c r="Q287" s="56">
        <f t="shared" si="91"/>
        <v>0</v>
      </c>
      <c r="R287" s="72">
        <v>1500</v>
      </c>
      <c r="S287" s="33">
        <v>300</v>
      </c>
      <c r="T287" s="127">
        <f>S287*100/R287</f>
        <v>20</v>
      </c>
    </row>
    <row r="288" spans="1:20" outlineLevel="1" x14ac:dyDescent="0.25">
      <c r="A288" s="4" t="s">
        <v>278</v>
      </c>
      <c r="B288" s="75" t="s">
        <v>506</v>
      </c>
      <c r="C288" s="25" t="s">
        <v>102</v>
      </c>
      <c r="D288" s="92">
        <v>4</v>
      </c>
      <c r="E288" s="110">
        <v>150</v>
      </c>
      <c r="F288" s="93">
        <f>D288*E288</f>
        <v>600</v>
      </c>
      <c r="G288" s="74">
        <f t="shared" si="83"/>
        <v>0</v>
      </c>
      <c r="H288" s="95">
        <f t="shared" si="90"/>
        <v>600</v>
      </c>
      <c r="I288" s="112">
        <v>600</v>
      </c>
      <c r="J288" s="57"/>
      <c r="K288" s="57"/>
      <c r="L288" s="57"/>
      <c r="M288" s="57"/>
      <c r="N288" s="57"/>
      <c r="O288" s="57"/>
      <c r="P288" s="68"/>
      <c r="Q288" s="58"/>
      <c r="R288" s="135"/>
      <c r="S288" s="76"/>
      <c r="T288" s="128"/>
    </row>
    <row r="289" spans="1:20" outlineLevel="1" x14ac:dyDescent="0.25">
      <c r="A289" s="4" t="s">
        <v>279</v>
      </c>
      <c r="B289" s="75" t="s">
        <v>903</v>
      </c>
      <c r="C289" s="25"/>
      <c r="D289" s="92">
        <v>0</v>
      </c>
      <c r="E289" s="110">
        <v>0</v>
      </c>
      <c r="F289" s="93">
        <f>D289*E289</f>
        <v>0</v>
      </c>
      <c r="G289" s="74">
        <f t="shared" si="83"/>
        <v>0</v>
      </c>
      <c r="H289" s="95">
        <f t="shared" si="90"/>
        <v>0</v>
      </c>
      <c r="I289" s="112">
        <v>0</v>
      </c>
      <c r="J289" s="57"/>
      <c r="K289" s="57"/>
      <c r="L289" s="57"/>
      <c r="M289" s="57"/>
      <c r="N289" s="57"/>
      <c r="O289" s="57"/>
      <c r="P289" s="68"/>
      <c r="Q289" s="58"/>
      <c r="R289" s="135"/>
      <c r="S289" s="76"/>
      <c r="T289" s="128"/>
    </row>
    <row r="290" spans="1:20" s="3" customFormat="1" ht="15.75" x14ac:dyDescent="0.25">
      <c r="A290" s="7" t="s">
        <v>593</v>
      </c>
      <c r="B290" s="13" t="s">
        <v>508</v>
      </c>
      <c r="C290" s="23"/>
      <c r="D290" s="24"/>
      <c r="E290" s="17"/>
      <c r="F290" s="82">
        <f>SUM(F291:F292)</f>
        <v>400</v>
      </c>
      <c r="G290" s="89">
        <f t="shared" si="83"/>
        <v>0</v>
      </c>
      <c r="H290" s="18">
        <f t="shared" si="90"/>
        <v>400</v>
      </c>
      <c r="I290" s="54">
        <f t="shared" ref="I290:Q290" si="92">SUM(I291:I292)</f>
        <v>400</v>
      </c>
      <c r="J290" s="55">
        <f t="shared" si="92"/>
        <v>0</v>
      </c>
      <c r="K290" s="55">
        <f t="shared" si="92"/>
        <v>0</v>
      </c>
      <c r="L290" s="55">
        <f t="shared" si="92"/>
        <v>0</v>
      </c>
      <c r="M290" s="55">
        <f t="shared" si="92"/>
        <v>0</v>
      </c>
      <c r="N290" s="55">
        <f t="shared" si="92"/>
        <v>0</v>
      </c>
      <c r="O290" s="55">
        <f t="shared" si="92"/>
        <v>0</v>
      </c>
      <c r="P290" s="55">
        <f t="shared" si="92"/>
        <v>0</v>
      </c>
      <c r="Q290" s="56">
        <f t="shared" si="92"/>
        <v>0</v>
      </c>
      <c r="R290" s="72">
        <v>500</v>
      </c>
      <c r="S290" s="33">
        <f>SUM(S291:S292)</f>
        <v>0</v>
      </c>
      <c r="T290" s="127">
        <f>S290*100/R290</f>
        <v>0</v>
      </c>
    </row>
    <row r="291" spans="1:20" outlineLevel="1" x14ac:dyDescent="0.25">
      <c r="A291" s="4" t="s">
        <v>594</v>
      </c>
      <c r="B291" s="75" t="s">
        <v>507</v>
      </c>
      <c r="C291" s="25" t="s">
        <v>102</v>
      </c>
      <c r="D291" s="92">
        <v>4</v>
      </c>
      <c r="E291" s="110">
        <v>100</v>
      </c>
      <c r="F291" s="93">
        <f>D291*E291</f>
        <v>400</v>
      </c>
      <c r="G291" s="74">
        <f t="shared" si="83"/>
        <v>0</v>
      </c>
      <c r="H291" s="95">
        <f t="shared" si="90"/>
        <v>400</v>
      </c>
      <c r="I291" s="112">
        <v>400</v>
      </c>
      <c r="J291" s="57"/>
      <c r="K291" s="57"/>
      <c r="L291" s="57"/>
      <c r="M291" s="57"/>
      <c r="N291" s="57"/>
      <c r="O291" s="57"/>
      <c r="P291" s="68"/>
      <c r="Q291" s="58"/>
      <c r="R291" s="135"/>
      <c r="S291" s="76"/>
      <c r="T291" s="128"/>
    </row>
    <row r="292" spans="1:20" outlineLevel="1" x14ac:dyDescent="0.25">
      <c r="A292" s="4" t="s">
        <v>595</v>
      </c>
      <c r="B292" s="75" t="s">
        <v>47</v>
      </c>
      <c r="C292" s="25"/>
      <c r="D292" s="92">
        <v>0</v>
      </c>
      <c r="E292" s="110">
        <v>0</v>
      </c>
      <c r="F292" s="93">
        <f>D292*E292</f>
        <v>0</v>
      </c>
      <c r="G292" s="74">
        <f t="shared" si="83"/>
        <v>0</v>
      </c>
      <c r="H292" s="95">
        <f t="shared" si="90"/>
        <v>0</v>
      </c>
      <c r="I292" s="112">
        <v>0</v>
      </c>
      <c r="J292" s="57"/>
      <c r="K292" s="57"/>
      <c r="L292" s="57"/>
      <c r="M292" s="57"/>
      <c r="N292" s="57"/>
      <c r="O292" s="57"/>
      <c r="P292" s="68"/>
      <c r="Q292" s="58"/>
      <c r="R292" s="135"/>
      <c r="S292" s="76"/>
      <c r="T292" s="128"/>
    </row>
    <row r="293" spans="1:20" s="3" customFormat="1" ht="15.75" x14ac:dyDescent="0.25">
      <c r="A293" s="7" t="s">
        <v>596</v>
      </c>
      <c r="B293" s="13" t="s">
        <v>517</v>
      </c>
      <c r="C293" s="23"/>
      <c r="D293" s="24"/>
      <c r="E293" s="17"/>
      <c r="F293" s="82">
        <f>SUM(F294:F295)</f>
        <v>600</v>
      </c>
      <c r="G293" s="89">
        <f t="shared" si="83"/>
        <v>0</v>
      </c>
      <c r="H293" s="18">
        <f t="shared" si="90"/>
        <v>600</v>
      </c>
      <c r="I293" s="54">
        <f t="shared" ref="I293:Q293" si="93">SUM(I294:I295)</f>
        <v>600</v>
      </c>
      <c r="J293" s="55">
        <f t="shared" si="93"/>
        <v>0</v>
      </c>
      <c r="K293" s="55">
        <f t="shared" si="93"/>
        <v>0</v>
      </c>
      <c r="L293" s="55">
        <f t="shared" si="93"/>
        <v>0</v>
      </c>
      <c r="M293" s="55">
        <f t="shared" si="93"/>
        <v>0</v>
      </c>
      <c r="N293" s="55">
        <f t="shared" si="93"/>
        <v>0</v>
      </c>
      <c r="O293" s="55">
        <f t="shared" si="93"/>
        <v>0</v>
      </c>
      <c r="P293" s="55">
        <f t="shared" si="93"/>
        <v>0</v>
      </c>
      <c r="Q293" s="56">
        <f t="shared" si="93"/>
        <v>0</v>
      </c>
      <c r="R293" s="72">
        <v>1300</v>
      </c>
      <c r="S293" s="33">
        <v>471</v>
      </c>
      <c r="T293" s="127">
        <f>S293*100/R293</f>
        <v>36.230769230769234</v>
      </c>
    </row>
    <row r="294" spans="1:20" outlineLevel="1" x14ac:dyDescent="0.25">
      <c r="A294" s="4" t="s">
        <v>594</v>
      </c>
      <c r="B294" s="75" t="s">
        <v>518</v>
      </c>
      <c r="C294" s="25" t="s">
        <v>102</v>
      </c>
      <c r="D294" s="92">
        <v>4</v>
      </c>
      <c r="E294" s="110">
        <v>150</v>
      </c>
      <c r="F294" s="93">
        <f>D294*E294</f>
        <v>600</v>
      </c>
      <c r="G294" s="74">
        <f t="shared" si="83"/>
        <v>0</v>
      </c>
      <c r="H294" s="95">
        <f t="shared" si="90"/>
        <v>600</v>
      </c>
      <c r="I294" s="112">
        <f>4*150</f>
        <v>600</v>
      </c>
      <c r="J294" s="57"/>
      <c r="K294" s="57"/>
      <c r="L294" s="57"/>
      <c r="M294" s="57"/>
      <c r="N294" s="57"/>
      <c r="O294" s="57"/>
      <c r="P294" s="68"/>
      <c r="Q294" s="58"/>
      <c r="R294" s="76"/>
      <c r="S294" s="76"/>
      <c r="T294" s="128"/>
    </row>
    <row r="295" spans="1:20" outlineLevel="1" x14ac:dyDescent="0.25">
      <c r="A295" s="4" t="s">
        <v>595</v>
      </c>
      <c r="B295" s="75" t="s">
        <v>903</v>
      </c>
      <c r="C295" s="25"/>
      <c r="D295" s="92">
        <v>0</v>
      </c>
      <c r="E295" s="110">
        <v>0</v>
      </c>
      <c r="F295" s="93">
        <f>D295*E295</f>
        <v>0</v>
      </c>
      <c r="G295" s="74">
        <f t="shared" si="83"/>
        <v>0</v>
      </c>
      <c r="H295" s="95">
        <f t="shared" si="90"/>
        <v>0</v>
      </c>
      <c r="I295" s="112">
        <v>0</v>
      </c>
      <c r="J295" s="57"/>
      <c r="K295" s="57"/>
      <c r="L295" s="57"/>
      <c r="M295" s="57"/>
      <c r="N295" s="57"/>
      <c r="O295" s="57"/>
      <c r="P295" s="68"/>
      <c r="Q295" s="58"/>
      <c r="R295" s="76"/>
      <c r="S295" s="76"/>
      <c r="T295" s="128"/>
    </row>
    <row r="296" spans="1:20" s="3" customFormat="1" ht="15.75" x14ac:dyDescent="0.25">
      <c r="A296" s="7" t="s">
        <v>597</v>
      </c>
      <c r="B296" s="13" t="s">
        <v>73</v>
      </c>
      <c r="C296" s="23"/>
      <c r="D296" s="24"/>
      <c r="E296" s="17"/>
      <c r="F296" s="82">
        <f>SUM(F297:F299)</f>
        <v>500</v>
      </c>
      <c r="G296" s="89">
        <f t="shared" si="83"/>
        <v>0</v>
      </c>
      <c r="H296" s="18">
        <f t="shared" si="90"/>
        <v>500</v>
      </c>
      <c r="I296" s="54">
        <f t="shared" ref="I296:Q296" si="94">SUM(I297:I299)</f>
        <v>500</v>
      </c>
      <c r="J296" s="55">
        <f t="shared" si="94"/>
        <v>0</v>
      </c>
      <c r="K296" s="55">
        <f t="shared" si="94"/>
        <v>0</v>
      </c>
      <c r="L296" s="55">
        <f t="shared" si="94"/>
        <v>0</v>
      </c>
      <c r="M296" s="55">
        <f t="shared" si="94"/>
        <v>0</v>
      </c>
      <c r="N296" s="55">
        <f t="shared" si="94"/>
        <v>0</v>
      </c>
      <c r="O296" s="55">
        <f t="shared" si="94"/>
        <v>0</v>
      </c>
      <c r="P296" s="55">
        <f t="shared" si="94"/>
        <v>0</v>
      </c>
      <c r="Q296" s="56">
        <f t="shared" si="94"/>
        <v>0</v>
      </c>
      <c r="R296" s="33">
        <v>860</v>
      </c>
      <c r="S296" s="33">
        <v>88.92</v>
      </c>
      <c r="T296" s="127">
        <f>S296*100/R296</f>
        <v>10.33953488372093</v>
      </c>
    </row>
    <row r="297" spans="1:20" outlineLevel="1" x14ac:dyDescent="0.25">
      <c r="A297" s="4" t="s">
        <v>598</v>
      </c>
      <c r="B297" s="75" t="s">
        <v>74</v>
      </c>
      <c r="C297" s="25" t="s">
        <v>101</v>
      </c>
      <c r="D297" s="92">
        <v>2</v>
      </c>
      <c r="E297" s="110">
        <v>100</v>
      </c>
      <c r="F297" s="93">
        <f>D297*E297</f>
        <v>200</v>
      </c>
      <c r="G297" s="74">
        <f t="shared" si="83"/>
        <v>0</v>
      </c>
      <c r="H297" s="95">
        <f t="shared" si="90"/>
        <v>200</v>
      </c>
      <c r="I297" s="112">
        <v>200</v>
      </c>
      <c r="J297" s="57"/>
      <c r="K297" s="57"/>
      <c r="L297" s="57"/>
      <c r="M297" s="57"/>
      <c r="N297" s="57"/>
      <c r="O297" s="57"/>
      <c r="P297" s="68"/>
      <c r="Q297" s="58"/>
      <c r="R297" s="76"/>
      <c r="S297" s="76"/>
      <c r="T297" s="128"/>
    </row>
    <row r="298" spans="1:20" outlineLevel="1" x14ac:dyDescent="0.25">
      <c r="A298" s="4" t="s">
        <v>599</v>
      </c>
      <c r="B298" s="75" t="s">
        <v>75</v>
      </c>
      <c r="C298" s="25" t="s">
        <v>105</v>
      </c>
      <c r="D298" s="92">
        <v>1</v>
      </c>
      <c r="E298" s="110">
        <v>300</v>
      </c>
      <c r="F298" s="93">
        <f>D298*E298</f>
        <v>300</v>
      </c>
      <c r="G298" s="74">
        <f t="shared" si="83"/>
        <v>0</v>
      </c>
      <c r="H298" s="95">
        <f t="shared" si="90"/>
        <v>300</v>
      </c>
      <c r="I298" s="112">
        <v>300</v>
      </c>
      <c r="J298" s="57"/>
      <c r="K298" s="57"/>
      <c r="L298" s="57"/>
      <c r="M298" s="57"/>
      <c r="N298" s="57"/>
      <c r="O298" s="57"/>
      <c r="P298" s="68"/>
      <c r="Q298" s="58"/>
      <c r="R298" s="76"/>
      <c r="S298" s="76"/>
      <c r="T298" s="128"/>
    </row>
    <row r="299" spans="1:20" outlineLevel="1" x14ac:dyDescent="0.25">
      <c r="A299" s="4" t="s">
        <v>600</v>
      </c>
      <c r="B299" s="75" t="s">
        <v>47</v>
      </c>
      <c r="C299" s="25"/>
      <c r="D299" s="92">
        <v>0</v>
      </c>
      <c r="E299" s="110">
        <v>0</v>
      </c>
      <c r="F299" s="93">
        <f>D299*E299</f>
        <v>0</v>
      </c>
      <c r="G299" s="74">
        <f t="shared" si="83"/>
        <v>0</v>
      </c>
      <c r="H299" s="95">
        <f t="shared" si="90"/>
        <v>0</v>
      </c>
      <c r="I299" s="112">
        <v>0</v>
      </c>
      <c r="J299" s="57"/>
      <c r="K299" s="57"/>
      <c r="L299" s="57"/>
      <c r="M299" s="57"/>
      <c r="N299" s="57"/>
      <c r="O299" s="57"/>
      <c r="P299" s="68"/>
      <c r="Q299" s="58"/>
      <c r="R299" s="76"/>
      <c r="S299" s="76"/>
      <c r="T299" s="128"/>
    </row>
    <row r="300" spans="1:20" s="3" customFormat="1" ht="15.75" x14ac:dyDescent="0.25">
      <c r="A300" s="7" t="s">
        <v>601</v>
      </c>
      <c r="B300" s="13" t="s">
        <v>509</v>
      </c>
      <c r="C300" s="23"/>
      <c r="D300" s="24"/>
      <c r="E300" s="17"/>
      <c r="F300" s="82">
        <f>SUM(F301:F304)</f>
        <v>900</v>
      </c>
      <c r="G300" s="89">
        <f t="shared" si="83"/>
        <v>0</v>
      </c>
      <c r="H300" s="18">
        <f t="shared" si="90"/>
        <v>900</v>
      </c>
      <c r="I300" s="54">
        <f t="shared" ref="I300:Q300" si="95">SUM(I301:I304)</f>
        <v>900</v>
      </c>
      <c r="J300" s="55">
        <f t="shared" si="95"/>
        <v>0</v>
      </c>
      <c r="K300" s="55">
        <f t="shared" si="95"/>
        <v>0</v>
      </c>
      <c r="L300" s="55">
        <f t="shared" si="95"/>
        <v>0</v>
      </c>
      <c r="M300" s="55">
        <f t="shared" si="95"/>
        <v>0</v>
      </c>
      <c r="N300" s="55">
        <f t="shared" si="95"/>
        <v>0</v>
      </c>
      <c r="O300" s="55">
        <f t="shared" si="95"/>
        <v>0</v>
      </c>
      <c r="P300" s="55">
        <f t="shared" si="95"/>
        <v>0</v>
      </c>
      <c r="Q300" s="56">
        <f t="shared" si="95"/>
        <v>0</v>
      </c>
      <c r="R300" s="33">
        <v>3870</v>
      </c>
      <c r="S300" s="33">
        <v>1087.6199999999999</v>
      </c>
      <c r="T300" s="127">
        <f>S300*100/R300</f>
        <v>28.103875968992245</v>
      </c>
    </row>
    <row r="301" spans="1:20" outlineLevel="1" x14ac:dyDescent="0.25">
      <c r="A301" s="4" t="s">
        <v>602</v>
      </c>
      <c r="B301" s="75" t="s">
        <v>510</v>
      </c>
      <c r="C301" s="25" t="s">
        <v>102</v>
      </c>
      <c r="D301" s="92">
        <v>4</v>
      </c>
      <c r="E301" s="110">
        <v>150</v>
      </c>
      <c r="F301" s="93">
        <f t="shared" ref="F301:F316" si="96">D301*E301</f>
        <v>600</v>
      </c>
      <c r="G301" s="74">
        <f t="shared" si="83"/>
        <v>0</v>
      </c>
      <c r="H301" s="95">
        <f t="shared" si="90"/>
        <v>600</v>
      </c>
      <c r="I301" s="112">
        <v>600</v>
      </c>
      <c r="J301" s="57"/>
      <c r="K301" s="57"/>
      <c r="L301" s="57"/>
      <c r="M301" s="57"/>
      <c r="N301" s="57"/>
      <c r="O301" s="57"/>
      <c r="P301" s="68"/>
      <c r="Q301" s="58"/>
      <c r="R301" s="76"/>
      <c r="S301" s="76"/>
      <c r="T301" s="128"/>
    </row>
    <row r="302" spans="1:20" outlineLevel="1" x14ac:dyDescent="0.25">
      <c r="A302" s="4" t="s">
        <v>603</v>
      </c>
      <c r="B302" s="75" t="s">
        <v>511</v>
      </c>
      <c r="C302" s="25"/>
      <c r="D302" s="92">
        <v>1</v>
      </c>
      <c r="E302" s="110">
        <v>0</v>
      </c>
      <c r="F302" s="93">
        <f t="shared" si="96"/>
        <v>0</v>
      </c>
      <c r="G302" s="74">
        <f t="shared" si="83"/>
        <v>0</v>
      </c>
      <c r="H302" s="95">
        <f t="shared" si="90"/>
        <v>0</v>
      </c>
      <c r="I302" s="112"/>
      <c r="J302" s="57"/>
      <c r="K302" s="57"/>
      <c r="L302" s="57"/>
      <c r="M302" s="57"/>
      <c r="N302" s="57"/>
      <c r="O302" s="57"/>
      <c r="P302" s="68"/>
      <c r="Q302" s="58"/>
      <c r="R302" s="76"/>
      <c r="S302" s="76"/>
      <c r="T302" s="128"/>
    </row>
    <row r="303" spans="1:20" outlineLevel="1" x14ac:dyDescent="0.25">
      <c r="A303" s="4" t="s">
        <v>604</v>
      </c>
      <c r="B303" s="75" t="s">
        <v>512</v>
      </c>
      <c r="C303" s="25"/>
      <c r="D303" s="92">
        <v>1</v>
      </c>
      <c r="E303" s="110">
        <v>300</v>
      </c>
      <c r="F303" s="93">
        <f t="shared" si="96"/>
        <v>300</v>
      </c>
      <c r="G303" s="74">
        <f t="shared" si="83"/>
        <v>0</v>
      </c>
      <c r="H303" s="95">
        <f t="shared" si="90"/>
        <v>300</v>
      </c>
      <c r="I303" s="112">
        <v>300</v>
      </c>
      <c r="J303" s="57"/>
      <c r="K303" s="57"/>
      <c r="L303" s="57"/>
      <c r="M303" s="57"/>
      <c r="N303" s="57"/>
      <c r="O303" s="57"/>
      <c r="P303" s="68"/>
      <c r="Q303" s="58"/>
      <c r="R303" s="76"/>
      <c r="S303" s="76"/>
      <c r="T303" s="128"/>
    </row>
    <row r="304" spans="1:20" outlineLevel="1" x14ac:dyDescent="0.25">
      <c r="A304" s="4" t="s">
        <v>605</v>
      </c>
      <c r="B304" s="75" t="s">
        <v>47</v>
      </c>
      <c r="C304" s="25"/>
      <c r="D304" s="92">
        <v>0</v>
      </c>
      <c r="E304" s="110">
        <v>0</v>
      </c>
      <c r="F304" s="93">
        <f t="shared" si="96"/>
        <v>0</v>
      </c>
      <c r="G304" s="74">
        <f t="shared" si="83"/>
        <v>0</v>
      </c>
      <c r="H304" s="95">
        <f t="shared" si="90"/>
        <v>0</v>
      </c>
      <c r="I304" s="112">
        <v>0</v>
      </c>
      <c r="J304" s="57"/>
      <c r="K304" s="57"/>
      <c r="L304" s="57"/>
      <c r="M304" s="57"/>
      <c r="N304" s="57"/>
      <c r="O304" s="57"/>
      <c r="P304" s="68"/>
      <c r="Q304" s="58"/>
      <c r="R304" s="76"/>
      <c r="S304" s="76"/>
      <c r="T304" s="128"/>
    </row>
    <row r="305" spans="1:20" s="3" customFormat="1" ht="15.75" x14ac:dyDescent="0.25">
      <c r="A305" s="7" t="s">
        <v>606</v>
      </c>
      <c r="B305" s="13" t="s">
        <v>166</v>
      </c>
      <c r="C305" s="23"/>
      <c r="D305" s="24">
        <v>1</v>
      </c>
      <c r="E305" s="17">
        <v>1223.1500000000001</v>
      </c>
      <c r="F305" s="82">
        <f t="shared" si="96"/>
        <v>1223.1500000000001</v>
      </c>
      <c r="G305" s="89">
        <f t="shared" si="83"/>
        <v>0</v>
      </c>
      <c r="H305" s="18">
        <f t="shared" si="90"/>
        <v>1223.1500000000001</v>
      </c>
      <c r="I305" s="54">
        <v>969.899</v>
      </c>
      <c r="J305" s="55"/>
      <c r="K305" s="55">
        <v>253.251</v>
      </c>
      <c r="L305" s="55"/>
      <c r="M305" s="55"/>
      <c r="N305" s="55"/>
      <c r="O305" s="55"/>
      <c r="P305" s="55"/>
      <c r="Q305" s="56"/>
      <c r="R305" s="33">
        <v>1232</v>
      </c>
      <c r="S305" s="33">
        <v>1152.8699999999999</v>
      </c>
      <c r="T305" s="127">
        <f t="shared" ref="T305:T318" si="97">S305*100/R305</f>
        <v>93.577110389610382</v>
      </c>
    </row>
    <row r="306" spans="1:20" s="3" customFormat="1" ht="15.75" x14ac:dyDescent="0.25">
      <c r="A306" s="7" t="s">
        <v>607</v>
      </c>
      <c r="B306" s="13" t="s">
        <v>165</v>
      </c>
      <c r="C306" s="23"/>
      <c r="D306" s="24">
        <v>1</v>
      </c>
      <c r="E306" s="17">
        <v>2453.2600000000002</v>
      </c>
      <c r="F306" s="82">
        <f t="shared" si="96"/>
        <v>2453.2600000000002</v>
      </c>
      <c r="G306" s="89">
        <f t="shared" si="83"/>
        <v>3.9999999999054126E-3</v>
      </c>
      <c r="H306" s="18">
        <f t="shared" si="90"/>
        <v>2453.2640000000001</v>
      </c>
      <c r="I306" s="54">
        <v>1945.32</v>
      </c>
      <c r="J306" s="55"/>
      <c r="K306" s="55">
        <v>507.94400000000002</v>
      </c>
      <c r="L306" s="55"/>
      <c r="M306" s="55"/>
      <c r="N306" s="55"/>
      <c r="O306" s="55"/>
      <c r="P306" s="55"/>
      <c r="Q306" s="56"/>
      <c r="R306" s="33">
        <v>2491</v>
      </c>
      <c r="S306" s="33">
        <v>5557.26</v>
      </c>
      <c r="T306" s="127">
        <f t="shared" si="97"/>
        <v>223.09353673223606</v>
      </c>
    </row>
    <row r="307" spans="1:20" s="3" customFormat="1" ht="15.75" x14ac:dyDescent="0.25">
      <c r="A307" s="7" t="s">
        <v>608</v>
      </c>
      <c r="B307" s="13" t="s">
        <v>177</v>
      </c>
      <c r="C307" s="23"/>
      <c r="D307" s="24">
        <v>1</v>
      </c>
      <c r="E307" s="17">
        <v>1536.42</v>
      </c>
      <c r="F307" s="82">
        <f t="shared" si="96"/>
        <v>1536.42</v>
      </c>
      <c r="G307" s="89">
        <f t="shared" si="83"/>
        <v>2.9999999999290594E-3</v>
      </c>
      <c r="H307" s="18">
        <f t="shared" si="90"/>
        <v>1536.423</v>
      </c>
      <c r="I307" s="54">
        <v>1218.31</v>
      </c>
      <c r="J307" s="55"/>
      <c r="K307" s="55">
        <v>318.113</v>
      </c>
      <c r="L307" s="55"/>
      <c r="M307" s="55"/>
      <c r="N307" s="55"/>
      <c r="O307" s="55"/>
      <c r="P307" s="55"/>
      <c r="Q307" s="56"/>
      <c r="R307" s="33">
        <v>1549</v>
      </c>
      <c r="S307" s="33">
        <v>1409.48</v>
      </c>
      <c r="T307" s="127">
        <f t="shared" si="97"/>
        <v>90.99289864428664</v>
      </c>
    </row>
    <row r="308" spans="1:20" s="3" customFormat="1" ht="15.75" x14ac:dyDescent="0.25">
      <c r="A308" s="7" t="s">
        <v>609</v>
      </c>
      <c r="B308" s="13" t="s">
        <v>179</v>
      </c>
      <c r="C308" s="23"/>
      <c r="D308" s="24">
        <v>1</v>
      </c>
      <c r="E308" s="17">
        <v>2742.25</v>
      </c>
      <c r="F308" s="82">
        <f t="shared" si="96"/>
        <v>2742.25</v>
      </c>
      <c r="G308" s="89">
        <f t="shared" si="83"/>
        <v>-1.0000000000218279E-2</v>
      </c>
      <c r="H308" s="18">
        <f t="shared" si="90"/>
        <v>2742.24</v>
      </c>
      <c r="I308" s="54">
        <v>2174.4699999999998</v>
      </c>
      <c r="J308" s="55"/>
      <c r="K308" s="55">
        <v>567.77</v>
      </c>
      <c r="L308" s="55"/>
      <c r="M308" s="55"/>
      <c r="N308" s="55"/>
      <c r="O308" s="55"/>
      <c r="P308" s="55"/>
      <c r="Q308" s="56"/>
      <c r="R308" s="33">
        <v>2779</v>
      </c>
      <c r="S308" s="33">
        <v>3646.21</v>
      </c>
      <c r="T308" s="127">
        <f t="shared" si="97"/>
        <v>131.20582943504857</v>
      </c>
    </row>
    <row r="309" spans="1:20" s="3" customFormat="1" ht="15.75" x14ac:dyDescent="0.25">
      <c r="A309" s="7" t="s">
        <v>610</v>
      </c>
      <c r="B309" s="13" t="s">
        <v>183</v>
      </c>
      <c r="C309" s="23"/>
      <c r="D309" s="24">
        <v>1</v>
      </c>
      <c r="E309" s="17">
        <v>1304.9100000000001</v>
      </c>
      <c r="F309" s="82">
        <f t="shared" si="96"/>
        <v>1304.9100000000001</v>
      </c>
      <c r="G309" s="89">
        <f t="shared" si="83"/>
        <v>0</v>
      </c>
      <c r="H309" s="18">
        <f t="shared" si="90"/>
        <v>1304.9100000000001</v>
      </c>
      <c r="I309" s="54">
        <v>1034.73</v>
      </c>
      <c r="J309" s="55"/>
      <c r="K309" s="55">
        <v>270.18</v>
      </c>
      <c r="L309" s="55"/>
      <c r="M309" s="55"/>
      <c r="N309" s="55"/>
      <c r="O309" s="55"/>
      <c r="P309" s="55"/>
      <c r="Q309" s="56"/>
      <c r="R309" s="33">
        <v>1318</v>
      </c>
      <c r="S309" s="33">
        <v>602.12</v>
      </c>
      <c r="T309" s="127">
        <f t="shared" si="97"/>
        <v>45.684370257966613</v>
      </c>
    </row>
    <row r="310" spans="1:20" s="3" customFormat="1" ht="15.75" x14ac:dyDescent="0.25">
      <c r="A310" s="7" t="s">
        <v>611</v>
      </c>
      <c r="B310" s="13" t="s">
        <v>188</v>
      </c>
      <c r="C310" s="23"/>
      <c r="D310" s="24">
        <v>1</v>
      </c>
      <c r="E310" s="17">
        <v>1396.59</v>
      </c>
      <c r="F310" s="82">
        <f t="shared" si="96"/>
        <v>1396.59</v>
      </c>
      <c r="G310" s="89">
        <f t="shared" si="83"/>
        <v>2.00000000018008E-3</v>
      </c>
      <c r="H310" s="18">
        <f t="shared" si="90"/>
        <v>1396.5920000000001</v>
      </c>
      <c r="I310" s="54">
        <v>1107.43</v>
      </c>
      <c r="J310" s="55"/>
      <c r="K310" s="55">
        <v>289.16199999999998</v>
      </c>
      <c r="L310" s="55"/>
      <c r="M310" s="55"/>
      <c r="N310" s="55"/>
      <c r="O310" s="55"/>
      <c r="P310" s="55"/>
      <c r="Q310" s="56"/>
      <c r="R310" s="33">
        <v>1406</v>
      </c>
      <c r="S310" s="33">
        <v>1484.59</v>
      </c>
      <c r="T310" s="127">
        <f t="shared" si="97"/>
        <v>105.5896159317212</v>
      </c>
    </row>
    <row r="311" spans="1:20" s="3" customFormat="1" ht="15.75" x14ac:dyDescent="0.25">
      <c r="A311" s="7" t="s">
        <v>612</v>
      </c>
      <c r="B311" s="13" t="s">
        <v>195</v>
      </c>
      <c r="C311" s="23"/>
      <c r="D311" s="24">
        <v>1</v>
      </c>
      <c r="E311" s="17">
        <v>2338.5300000000002</v>
      </c>
      <c r="F311" s="82">
        <f t="shared" si="96"/>
        <v>2338.5300000000002</v>
      </c>
      <c r="G311" s="89">
        <f t="shared" si="83"/>
        <v>-1.0000000002037268E-3</v>
      </c>
      <c r="H311" s="18">
        <f t="shared" si="90"/>
        <v>2338.529</v>
      </c>
      <c r="I311" s="54">
        <v>1854.34</v>
      </c>
      <c r="J311" s="55"/>
      <c r="K311" s="55">
        <v>484.18900000000002</v>
      </c>
      <c r="L311" s="55"/>
      <c r="M311" s="55"/>
      <c r="N311" s="55"/>
      <c r="O311" s="55"/>
      <c r="P311" s="55"/>
      <c r="Q311" s="56"/>
      <c r="R311" s="33">
        <v>2366</v>
      </c>
      <c r="S311" s="33">
        <f>1218.59+633.94+246.51+282+100+200</f>
        <v>2681.04</v>
      </c>
      <c r="T311" s="127">
        <f t="shared" si="97"/>
        <v>113.31530008453085</v>
      </c>
    </row>
    <row r="312" spans="1:20" s="3" customFormat="1" ht="15.75" x14ac:dyDescent="0.25">
      <c r="A312" s="7" t="s">
        <v>613</v>
      </c>
      <c r="B312" s="13" t="s">
        <v>202</v>
      </c>
      <c r="C312" s="23"/>
      <c r="D312" s="24">
        <v>1</v>
      </c>
      <c r="E312" s="17">
        <v>1095.1400000000001</v>
      </c>
      <c r="F312" s="82">
        <f t="shared" si="96"/>
        <v>1095.1400000000001</v>
      </c>
      <c r="G312" s="89">
        <f t="shared" si="83"/>
        <v>0</v>
      </c>
      <c r="H312" s="18">
        <f t="shared" si="90"/>
        <v>1095.1400000000001</v>
      </c>
      <c r="I312" s="54">
        <v>868.39300000000003</v>
      </c>
      <c r="J312" s="55"/>
      <c r="K312" s="55">
        <v>226.74700000000001</v>
      </c>
      <c r="L312" s="55"/>
      <c r="M312" s="55"/>
      <c r="N312" s="55"/>
      <c r="O312" s="55"/>
      <c r="P312" s="55"/>
      <c r="Q312" s="56"/>
      <c r="R312" s="33">
        <v>1102</v>
      </c>
      <c r="S312" s="33">
        <v>1759.73</v>
      </c>
      <c r="T312" s="127">
        <f t="shared" si="97"/>
        <v>159.68511796733213</v>
      </c>
    </row>
    <row r="313" spans="1:20" s="3" customFormat="1" ht="15.75" x14ac:dyDescent="0.25">
      <c r="A313" s="7" t="s">
        <v>614</v>
      </c>
      <c r="B313" s="13" t="s">
        <v>204</v>
      </c>
      <c r="C313" s="23"/>
      <c r="D313" s="24">
        <v>1</v>
      </c>
      <c r="E313" s="17">
        <v>1505.81</v>
      </c>
      <c r="F313" s="82">
        <f t="shared" si="96"/>
        <v>1505.81</v>
      </c>
      <c r="G313" s="89">
        <f t="shared" si="83"/>
        <v>-3.9999999999054126E-3</v>
      </c>
      <c r="H313" s="18">
        <f t="shared" si="90"/>
        <v>1505.806</v>
      </c>
      <c r="I313" s="54">
        <v>1194.03</v>
      </c>
      <c r="J313" s="55"/>
      <c r="K313" s="55">
        <v>311.77600000000001</v>
      </c>
      <c r="L313" s="55"/>
      <c r="M313" s="55"/>
      <c r="N313" s="55"/>
      <c r="O313" s="55"/>
      <c r="P313" s="55"/>
      <c r="Q313" s="56"/>
      <c r="R313" s="33">
        <v>1521</v>
      </c>
      <c r="S313" s="33">
        <v>2395.9899999999998</v>
      </c>
      <c r="T313" s="127">
        <f t="shared" si="97"/>
        <v>157.52728468113082</v>
      </c>
    </row>
    <row r="314" spans="1:20" s="3" customFormat="1" ht="15.75" x14ac:dyDescent="0.25">
      <c r="A314" s="7" t="s">
        <v>615</v>
      </c>
      <c r="B314" s="13" t="s">
        <v>206</v>
      </c>
      <c r="C314" s="23"/>
      <c r="D314" s="24">
        <v>1</v>
      </c>
      <c r="E314" s="17">
        <v>1351.42</v>
      </c>
      <c r="F314" s="82">
        <f t="shared" si="96"/>
        <v>1351.42</v>
      </c>
      <c r="G314" s="89">
        <f t="shared" si="83"/>
        <v>-1.0000000002037268E-3</v>
      </c>
      <c r="H314" s="18">
        <f t="shared" si="90"/>
        <v>1351.4189999999999</v>
      </c>
      <c r="I314" s="54">
        <v>1071.6099999999999</v>
      </c>
      <c r="J314" s="55"/>
      <c r="K314" s="55">
        <v>279.80900000000003</v>
      </c>
      <c r="L314" s="55"/>
      <c r="M314" s="55"/>
      <c r="N314" s="55"/>
      <c r="O314" s="55"/>
      <c r="P314" s="55"/>
      <c r="Q314" s="56"/>
      <c r="R314" s="33">
        <v>1362</v>
      </c>
      <c r="S314" s="33">
        <v>1274.0999999999999</v>
      </c>
      <c r="T314" s="127">
        <f t="shared" si="97"/>
        <v>93.54625550660792</v>
      </c>
    </row>
    <row r="315" spans="1:20" s="3" customFormat="1" ht="15.75" x14ac:dyDescent="0.25">
      <c r="A315" s="7" t="s">
        <v>616</v>
      </c>
      <c r="B315" s="13" t="s">
        <v>207</v>
      </c>
      <c r="C315" s="23"/>
      <c r="D315" s="24">
        <v>1</v>
      </c>
      <c r="E315" s="17">
        <v>3092.24</v>
      </c>
      <c r="F315" s="82">
        <f t="shared" si="96"/>
        <v>3092.24</v>
      </c>
      <c r="G315" s="89">
        <f t="shared" si="83"/>
        <v>4.0000000003601599E-3</v>
      </c>
      <c r="H315" s="18">
        <f t="shared" si="90"/>
        <v>3092.2440000000001</v>
      </c>
      <c r="I315" s="54">
        <v>2452</v>
      </c>
      <c r="J315" s="55"/>
      <c r="K315" s="55">
        <v>640.24400000000003</v>
      </c>
      <c r="L315" s="55"/>
      <c r="M315" s="55"/>
      <c r="N315" s="55"/>
      <c r="O315" s="55"/>
      <c r="P315" s="55"/>
      <c r="Q315" s="56"/>
      <c r="R315" s="33">
        <v>3133</v>
      </c>
      <c r="S315" s="33">
        <v>5666.04</v>
      </c>
      <c r="T315" s="127">
        <f t="shared" si="97"/>
        <v>180.8503032237472</v>
      </c>
    </row>
    <row r="316" spans="1:20" s="3" customFormat="1" ht="15.75" x14ac:dyDescent="0.25">
      <c r="A316" s="7" t="s">
        <v>617</v>
      </c>
      <c r="B316" s="13" t="s">
        <v>208</v>
      </c>
      <c r="C316" s="23"/>
      <c r="D316" s="24">
        <v>1</v>
      </c>
      <c r="E316" s="17">
        <v>1525.28</v>
      </c>
      <c r="F316" s="82">
        <f t="shared" si="96"/>
        <v>1525.28</v>
      </c>
      <c r="G316" s="89">
        <f t="shared" si="83"/>
        <v>-2.9999999999290594E-3</v>
      </c>
      <c r="H316" s="18">
        <f t="shared" si="90"/>
        <v>1525.277</v>
      </c>
      <c r="I316" s="54">
        <v>1209.47</v>
      </c>
      <c r="J316" s="55"/>
      <c r="K316" s="55">
        <v>315.80700000000002</v>
      </c>
      <c r="L316" s="55"/>
      <c r="M316" s="55"/>
      <c r="N316" s="55"/>
      <c r="O316" s="55"/>
      <c r="P316" s="55"/>
      <c r="Q316" s="56"/>
      <c r="R316" s="33">
        <v>1540</v>
      </c>
      <c r="S316" s="33">
        <v>1770.66</v>
      </c>
      <c r="T316" s="127">
        <f t="shared" si="97"/>
        <v>114.97792207792207</v>
      </c>
    </row>
    <row r="317" spans="1:20" s="2" customFormat="1" ht="21" x14ac:dyDescent="0.35">
      <c r="A317" s="8" t="s">
        <v>280</v>
      </c>
      <c r="B317" s="12" t="s">
        <v>283</v>
      </c>
      <c r="C317" s="21"/>
      <c r="D317" s="22"/>
      <c r="E317" s="15"/>
      <c r="F317" s="84">
        <f>F318+F323+F328+F335+F340+F348</f>
        <v>146516</v>
      </c>
      <c r="G317" s="89">
        <f t="shared" ref="G317:G373" si="98">H317-F317</f>
        <v>0.61749999999301508</v>
      </c>
      <c r="H317" s="16">
        <f t="shared" ref="H317:H336" si="99">SUM(I317:Q317)</f>
        <v>146516.61749999999</v>
      </c>
      <c r="I317" s="51">
        <f t="shared" ref="I317:Q317" si="100">I318+I323+I328+I335+I340+I348</f>
        <v>5750</v>
      </c>
      <c r="J317" s="51">
        <f t="shared" si="100"/>
        <v>30140</v>
      </c>
      <c r="K317" s="51">
        <f t="shared" si="100"/>
        <v>73581.042499999996</v>
      </c>
      <c r="L317" s="51">
        <f t="shared" si="100"/>
        <v>37045.574999999997</v>
      </c>
      <c r="M317" s="51">
        <f t="shared" si="100"/>
        <v>0</v>
      </c>
      <c r="N317" s="51">
        <f t="shared" si="100"/>
        <v>0</v>
      </c>
      <c r="O317" s="51">
        <f t="shared" si="100"/>
        <v>0</v>
      </c>
      <c r="P317" s="51">
        <f t="shared" si="100"/>
        <v>0</v>
      </c>
      <c r="Q317" s="59">
        <f t="shared" si="100"/>
        <v>0</v>
      </c>
      <c r="R317" s="32">
        <f>+R318+R323+R328+R335+R340+R348</f>
        <v>140694</v>
      </c>
      <c r="S317" s="32">
        <f>S318+S323+S328+S335+S340+S348</f>
        <v>142788.53</v>
      </c>
      <c r="T317" s="126">
        <f t="shared" si="97"/>
        <v>101.48871309366426</v>
      </c>
    </row>
    <row r="318" spans="1:20" s="3" customFormat="1" ht="15.75" x14ac:dyDescent="0.25">
      <c r="A318" s="7" t="s">
        <v>289</v>
      </c>
      <c r="B318" s="13" t="s">
        <v>265</v>
      </c>
      <c r="C318" s="23"/>
      <c r="D318" s="24"/>
      <c r="E318" s="17"/>
      <c r="F318" s="82">
        <f>SUM(F319:F322)</f>
        <v>1000</v>
      </c>
      <c r="G318" s="89">
        <f t="shared" si="98"/>
        <v>0</v>
      </c>
      <c r="H318" s="18">
        <f t="shared" si="99"/>
        <v>1000</v>
      </c>
      <c r="I318" s="54">
        <f t="shared" ref="I318:Q318" si="101">SUM(I319:I322)</f>
        <v>1000</v>
      </c>
      <c r="J318" s="55">
        <f t="shared" si="101"/>
        <v>0</v>
      </c>
      <c r="K318" s="55">
        <f t="shared" si="101"/>
        <v>0</v>
      </c>
      <c r="L318" s="55">
        <f t="shared" si="101"/>
        <v>0</v>
      </c>
      <c r="M318" s="55">
        <f t="shared" si="101"/>
        <v>0</v>
      </c>
      <c r="N318" s="55">
        <f t="shared" si="101"/>
        <v>0</v>
      </c>
      <c r="O318" s="55">
        <f t="shared" si="101"/>
        <v>0</v>
      </c>
      <c r="P318" s="55">
        <f t="shared" si="101"/>
        <v>0</v>
      </c>
      <c r="Q318" s="56">
        <f t="shared" si="101"/>
        <v>0</v>
      </c>
      <c r="R318" s="33">
        <v>5700</v>
      </c>
      <c r="S318" s="33">
        <v>2685.47</v>
      </c>
      <c r="T318" s="127">
        <f t="shared" si="97"/>
        <v>47.113508771929823</v>
      </c>
    </row>
    <row r="319" spans="1:20" outlineLevel="1" x14ac:dyDescent="0.25">
      <c r="A319" s="5" t="s">
        <v>290</v>
      </c>
      <c r="B319" s="75" t="s">
        <v>284</v>
      </c>
      <c r="C319" s="25"/>
      <c r="D319" s="92">
        <v>1</v>
      </c>
      <c r="E319" s="110">
        <v>200</v>
      </c>
      <c r="F319" s="93">
        <f>D319*E319</f>
        <v>200</v>
      </c>
      <c r="G319" s="74">
        <f t="shared" si="98"/>
        <v>0</v>
      </c>
      <c r="H319" s="95">
        <f t="shared" si="99"/>
        <v>200</v>
      </c>
      <c r="I319" s="112">
        <v>200</v>
      </c>
      <c r="J319" s="57"/>
      <c r="K319" s="57"/>
      <c r="L319" s="57"/>
      <c r="M319" s="57"/>
      <c r="N319" s="57"/>
      <c r="O319" s="57"/>
      <c r="P319" s="68"/>
      <c r="Q319" s="58"/>
      <c r="R319" s="76"/>
      <c r="S319" s="76"/>
      <c r="T319" s="128"/>
    </row>
    <row r="320" spans="1:20" outlineLevel="1" x14ac:dyDescent="0.25">
      <c r="A320" s="4" t="s">
        <v>291</v>
      </c>
      <c r="B320" s="75" t="s">
        <v>310</v>
      </c>
      <c r="C320" s="25"/>
      <c r="D320" s="92">
        <v>4</v>
      </c>
      <c r="E320" s="110">
        <v>100</v>
      </c>
      <c r="F320" s="93">
        <f>D320*E320</f>
        <v>400</v>
      </c>
      <c r="G320" s="74">
        <f t="shared" si="98"/>
        <v>0</v>
      </c>
      <c r="H320" s="95">
        <f t="shared" si="99"/>
        <v>400</v>
      </c>
      <c r="I320" s="112">
        <v>400</v>
      </c>
      <c r="J320" s="57"/>
      <c r="K320" s="57"/>
      <c r="L320" s="57"/>
      <c r="M320" s="57"/>
      <c r="N320" s="57"/>
      <c r="O320" s="57"/>
      <c r="P320" s="68"/>
      <c r="Q320" s="58"/>
      <c r="R320" s="76"/>
      <c r="S320" s="76"/>
      <c r="T320" s="128"/>
    </row>
    <row r="321" spans="1:20" outlineLevel="1" x14ac:dyDescent="0.25">
      <c r="A321" s="4" t="s">
        <v>292</v>
      </c>
      <c r="B321" s="75" t="s">
        <v>285</v>
      </c>
      <c r="C321" s="25"/>
      <c r="D321" s="92">
        <v>8</v>
      </c>
      <c r="E321" s="110">
        <v>50</v>
      </c>
      <c r="F321" s="93">
        <f>D321*E321</f>
        <v>400</v>
      </c>
      <c r="G321" s="74">
        <f t="shared" si="98"/>
        <v>0</v>
      </c>
      <c r="H321" s="95">
        <f t="shared" si="99"/>
        <v>400</v>
      </c>
      <c r="I321" s="112">
        <v>400</v>
      </c>
      <c r="J321" s="57"/>
      <c r="K321" s="57"/>
      <c r="L321" s="57"/>
      <c r="M321" s="57"/>
      <c r="N321" s="57"/>
      <c r="O321" s="57"/>
      <c r="P321" s="68"/>
      <c r="Q321" s="58"/>
      <c r="R321" s="76"/>
      <c r="S321" s="76"/>
      <c r="T321" s="128"/>
    </row>
    <row r="322" spans="1:20" outlineLevel="1" x14ac:dyDescent="0.25">
      <c r="A322" s="4" t="s">
        <v>293</v>
      </c>
      <c r="B322" s="75" t="s">
        <v>47</v>
      </c>
      <c r="C322" s="25"/>
      <c r="D322" s="92">
        <v>0</v>
      </c>
      <c r="E322" s="110">
        <v>0</v>
      </c>
      <c r="F322" s="93">
        <f>D322*E322</f>
        <v>0</v>
      </c>
      <c r="G322" s="74">
        <f t="shared" si="98"/>
        <v>0</v>
      </c>
      <c r="H322" s="95">
        <f t="shared" si="99"/>
        <v>0</v>
      </c>
      <c r="I322" s="112"/>
      <c r="J322" s="57"/>
      <c r="K322" s="57"/>
      <c r="L322" s="57"/>
      <c r="M322" s="57"/>
      <c r="N322" s="57"/>
      <c r="O322" s="57"/>
      <c r="P322" s="68"/>
      <c r="Q322" s="58"/>
      <c r="R322" s="76"/>
      <c r="S322" s="76"/>
      <c r="T322" s="128"/>
    </row>
    <row r="323" spans="1:20" s="3" customFormat="1" ht="15.75" x14ac:dyDescent="0.25">
      <c r="A323" s="7" t="s">
        <v>294</v>
      </c>
      <c r="B323" s="13" t="s">
        <v>248</v>
      </c>
      <c r="C323" s="23"/>
      <c r="D323" s="24"/>
      <c r="E323" s="17"/>
      <c r="F323" s="82">
        <f>SUM(F324:F327)</f>
        <v>10158</v>
      </c>
      <c r="G323" s="89">
        <f t="shared" si="98"/>
        <v>0</v>
      </c>
      <c r="H323" s="18">
        <f t="shared" si="99"/>
        <v>10158</v>
      </c>
      <c r="I323" s="54">
        <f t="shared" ref="I323:Q323" si="102">SUM(I324:I327)</f>
        <v>0</v>
      </c>
      <c r="J323" s="55">
        <f t="shared" si="102"/>
        <v>10158</v>
      </c>
      <c r="K323" s="55">
        <f t="shared" si="102"/>
        <v>0</v>
      </c>
      <c r="L323" s="55">
        <f t="shared" si="102"/>
        <v>0</v>
      </c>
      <c r="M323" s="55">
        <f t="shared" si="102"/>
        <v>0</v>
      </c>
      <c r="N323" s="55">
        <f t="shared" si="102"/>
        <v>0</v>
      </c>
      <c r="O323" s="55">
        <f t="shared" si="102"/>
        <v>0</v>
      </c>
      <c r="P323" s="55">
        <f t="shared" si="102"/>
        <v>0</v>
      </c>
      <c r="Q323" s="56">
        <f t="shared" si="102"/>
        <v>0</v>
      </c>
      <c r="R323" s="33">
        <v>16000</v>
      </c>
      <c r="S323" s="33">
        <f>7493.54+2706.45+8517.9+683.65+533.03</f>
        <v>19934.57</v>
      </c>
      <c r="T323" s="127">
        <f>S323*100/R323</f>
        <v>124.59106250000001</v>
      </c>
    </row>
    <row r="324" spans="1:20" outlineLevel="1" x14ac:dyDescent="0.25">
      <c r="A324" s="4" t="s">
        <v>295</v>
      </c>
      <c r="B324" s="75" t="s">
        <v>267</v>
      </c>
      <c r="C324" s="25"/>
      <c r="D324" s="92">
        <v>1</v>
      </c>
      <c r="E324" s="110">
        <v>5000</v>
      </c>
      <c r="F324" s="93">
        <f>D324*E324</f>
        <v>5000</v>
      </c>
      <c r="G324" s="74">
        <f t="shared" si="98"/>
        <v>0</v>
      </c>
      <c r="H324" s="95">
        <f t="shared" si="99"/>
        <v>5000</v>
      </c>
      <c r="I324" s="112"/>
      <c r="J324" s="57">
        <v>5000</v>
      </c>
      <c r="K324" s="57"/>
      <c r="L324" s="57"/>
      <c r="M324" s="57"/>
      <c r="N324" s="57"/>
      <c r="O324" s="57"/>
      <c r="P324" s="68"/>
      <c r="Q324" s="58"/>
      <c r="R324" s="76"/>
      <c r="S324" s="76"/>
      <c r="T324" s="128"/>
    </row>
    <row r="325" spans="1:20" outlineLevel="1" x14ac:dyDescent="0.25">
      <c r="A325" s="4" t="s">
        <v>296</v>
      </c>
      <c r="B325" s="75" t="s">
        <v>251</v>
      </c>
      <c r="C325" s="25"/>
      <c r="D325" s="92">
        <v>1</v>
      </c>
      <c r="E325" s="110">
        <v>4000</v>
      </c>
      <c r="F325" s="93">
        <f>D325*E325</f>
        <v>4000</v>
      </c>
      <c r="G325" s="74">
        <f t="shared" si="98"/>
        <v>0</v>
      </c>
      <c r="H325" s="95">
        <f t="shared" si="99"/>
        <v>4000</v>
      </c>
      <c r="I325" s="112"/>
      <c r="J325" s="57">
        <v>4000</v>
      </c>
      <c r="K325" s="57"/>
      <c r="L325" s="57"/>
      <c r="M325" s="57"/>
      <c r="N325" s="57"/>
      <c r="O325" s="57"/>
      <c r="P325" s="68"/>
      <c r="Q325" s="58"/>
      <c r="R325" s="76"/>
      <c r="S325" s="76"/>
      <c r="T325" s="128"/>
    </row>
    <row r="326" spans="1:20" outlineLevel="1" x14ac:dyDescent="0.25">
      <c r="A326" s="4" t="s">
        <v>297</v>
      </c>
      <c r="B326" s="75" t="s">
        <v>856</v>
      </c>
      <c r="C326" s="25"/>
      <c r="D326" s="92">
        <v>1</v>
      </c>
      <c r="E326" s="110">
        <v>1000</v>
      </c>
      <c r="F326" s="93">
        <f>D326*E326</f>
        <v>1000</v>
      </c>
      <c r="G326" s="74">
        <f>H326-F326</f>
        <v>0</v>
      </c>
      <c r="H326" s="95">
        <f>SUM(I326:Q326)</f>
        <v>1000</v>
      </c>
      <c r="I326" s="112"/>
      <c r="J326" s="57">
        <v>1000</v>
      </c>
      <c r="K326" s="57"/>
      <c r="L326" s="57"/>
      <c r="M326" s="57"/>
      <c r="N326" s="57"/>
      <c r="O326" s="57"/>
      <c r="P326" s="68"/>
      <c r="Q326" s="58"/>
      <c r="R326" s="76"/>
      <c r="S326" s="76"/>
      <c r="T326" s="128"/>
    </row>
    <row r="327" spans="1:20" outlineLevel="1" x14ac:dyDescent="0.25">
      <c r="A327" s="4" t="s">
        <v>819</v>
      </c>
      <c r="B327" s="75" t="s">
        <v>47</v>
      </c>
      <c r="C327" s="25"/>
      <c r="D327" s="92">
        <v>1</v>
      </c>
      <c r="E327" s="110">
        <v>158</v>
      </c>
      <c r="F327" s="93">
        <f>D327*E327</f>
        <v>158</v>
      </c>
      <c r="G327" s="74">
        <f t="shared" si="98"/>
        <v>0</v>
      </c>
      <c r="H327" s="95">
        <f t="shared" si="99"/>
        <v>158</v>
      </c>
      <c r="I327" s="112"/>
      <c r="J327" s="57">
        <f>1000-842</f>
        <v>158</v>
      </c>
      <c r="K327" s="57"/>
      <c r="L327" s="57"/>
      <c r="M327" s="57"/>
      <c r="N327" s="57"/>
      <c r="O327" s="57"/>
      <c r="P327" s="68"/>
      <c r="Q327" s="58"/>
      <c r="R327" s="76"/>
      <c r="S327" s="76"/>
      <c r="T327" s="128"/>
    </row>
    <row r="328" spans="1:20" s="3" customFormat="1" ht="15.75" x14ac:dyDescent="0.25">
      <c r="A328" s="7" t="s">
        <v>298</v>
      </c>
      <c r="B328" s="13" t="s">
        <v>247</v>
      </c>
      <c r="C328" s="23"/>
      <c r="D328" s="24"/>
      <c r="E328" s="17"/>
      <c r="F328" s="82">
        <f>SUM(F329:F334)</f>
        <v>37114</v>
      </c>
      <c r="G328" s="89">
        <f t="shared" si="98"/>
        <v>0.47000000000116415</v>
      </c>
      <c r="H328" s="18">
        <f t="shared" si="99"/>
        <v>37114.47</v>
      </c>
      <c r="I328" s="54">
        <f t="shared" ref="I328:Q328" si="103">SUM(I329:I334)</f>
        <v>2000</v>
      </c>
      <c r="J328" s="55">
        <f t="shared" si="103"/>
        <v>4000</v>
      </c>
      <c r="K328" s="55">
        <f t="shared" si="103"/>
        <v>27276.720000000001</v>
      </c>
      <c r="L328" s="55">
        <f t="shared" si="103"/>
        <v>3837.75</v>
      </c>
      <c r="M328" s="55">
        <f t="shared" si="103"/>
        <v>0</v>
      </c>
      <c r="N328" s="55">
        <f t="shared" si="103"/>
        <v>0</v>
      </c>
      <c r="O328" s="55">
        <f t="shared" si="103"/>
        <v>0</v>
      </c>
      <c r="P328" s="55">
        <f t="shared" si="103"/>
        <v>0</v>
      </c>
      <c r="Q328" s="56">
        <f t="shared" si="103"/>
        <v>0</v>
      </c>
      <c r="R328" s="33">
        <f>20000+8800+6607</f>
        <v>35407</v>
      </c>
      <c r="S328" s="33">
        <f>23205.38+11058.14</f>
        <v>34263.520000000004</v>
      </c>
      <c r="T328" s="127">
        <f>S328*100/R328</f>
        <v>96.770469116276459</v>
      </c>
    </row>
    <row r="329" spans="1:20" outlineLevel="1" x14ac:dyDescent="0.25">
      <c r="A329" s="4" t="s">
        <v>299</v>
      </c>
      <c r="B329" s="75" t="s">
        <v>934</v>
      </c>
      <c r="C329" s="25"/>
      <c r="D329" s="92">
        <v>5</v>
      </c>
      <c r="E329" s="110">
        <f>4900+265+7.8</f>
        <v>5172.8</v>
      </c>
      <c r="F329" s="93">
        <f t="shared" ref="F329:F334" si="104">D329*E329</f>
        <v>25864</v>
      </c>
      <c r="G329" s="74">
        <f t="shared" si="98"/>
        <v>0.47000000000116415</v>
      </c>
      <c r="H329" s="95">
        <f t="shared" si="99"/>
        <v>25864.47</v>
      </c>
      <c r="I329" s="112">
        <v>2000</v>
      </c>
      <c r="J329" s="57">
        <v>3000</v>
      </c>
      <c r="K329" s="57">
        <v>17026.72</v>
      </c>
      <c r="L329" s="57">
        <v>3837.75</v>
      </c>
      <c r="M329" s="57"/>
      <c r="N329" s="57"/>
      <c r="O329" s="57"/>
      <c r="P329" s="68"/>
      <c r="Q329" s="58"/>
      <c r="R329" s="76"/>
      <c r="S329" s="76"/>
      <c r="T329" s="128"/>
    </row>
    <row r="330" spans="1:20" outlineLevel="1" x14ac:dyDescent="0.25">
      <c r="A330" s="4" t="s">
        <v>300</v>
      </c>
      <c r="B330" s="75" t="s">
        <v>935</v>
      </c>
      <c r="C330" s="25"/>
      <c r="D330" s="92">
        <v>4</v>
      </c>
      <c r="E330" s="110">
        <v>1100</v>
      </c>
      <c r="F330" s="93">
        <f t="shared" si="104"/>
        <v>4400</v>
      </c>
      <c r="G330" s="74">
        <f t="shared" si="98"/>
        <v>0</v>
      </c>
      <c r="H330" s="95">
        <f t="shared" si="99"/>
        <v>4400</v>
      </c>
      <c r="I330" s="112"/>
      <c r="J330" s="57"/>
      <c r="K330" s="57">
        <v>4400</v>
      </c>
      <c r="L330" s="57"/>
      <c r="M330" s="57"/>
      <c r="N330" s="57"/>
      <c r="O330" s="57"/>
      <c r="P330" s="68"/>
      <c r="Q330" s="58"/>
      <c r="R330" s="76"/>
      <c r="S330" s="76"/>
      <c r="T330" s="128"/>
    </row>
    <row r="331" spans="1:20" outlineLevel="1" x14ac:dyDescent="0.25">
      <c r="A331" s="4" t="s">
        <v>306</v>
      </c>
      <c r="B331" s="75" t="s">
        <v>936</v>
      </c>
      <c r="C331" s="25"/>
      <c r="D331" s="92">
        <v>1</v>
      </c>
      <c r="E331" s="110">
        <f>4364-5*265-39</f>
        <v>3000</v>
      </c>
      <c r="F331" s="93">
        <f t="shared" si="104"/>
        <v>3000</v>
      </c>
      <c r="G331" s="74">
        <f t="shared" si="98"/>
        <v>0</v>
      </c>
      <c r="H331" s="95">
        <f t="shared" si="99"/>
        <v>3000</v>
      </c>
      <c r="I331" s="112"/>
      <c r="J331" s="57"/>
      <c r="K331" s="57">
        <v>3000</v>
      </c>
      <c r="L331" s="57"/>
      <c r="M331" s="57"/>
      <c r="N331" s="57"/>
      <c r="O331" s="57"/>
      <c r="P331" s="68"/>
      <c r="Q331" s="58"/>
      <c r="R331" s="76"/>
      <c r="S331" s="76"/>
      <c r="T331" s="128"/>
    </row>
    <row r="332" spans="1:20" outlineLevel="1" x14ac:dyDescent="0.25">
      <c r="A332" s="4" t="s">
        <v>966</v>
      </c>
      <c r="B332" s="75" t="s">
        <v>268</v>
      </c>
      <c r="C332" s="25"/>
      <c r="D332" s="92">
        <v>1</v>
      </c>
      <c r="E332" s="110">
        <f>1500*0.3</f>
        <v>450</v>
      </c>
      <c r="F332" s="93">
        <f t="shared" si="104"/>
        <v>450</v>
      </c>
      <c r="G332" s="74">
        <f t="shared" si="98"/>
        <v>0</v>
      </c>
      <c r="H332" s="95">
        <f t="shared" si="99"/>
        <v>450</v>
      </c>
      <c r="I332" s="112"/>
      <c r="J332" s="57"/>
      <c r="K332" s="57">
        <v>450</v>
      </c>
      <c r="L332" s="57"/>
      <c r="M332" s="57"/>
      <c r="N332" s="57"/>
      <c r="O332" s="57"/>
      <c r="P332" s="68"/>
      <c r="Q332" s="58"/>
      <c r="R332" s="76"/>
      <c r="S332" s="76"/>
      <c r="T332" s="128"/>
    </row>
    <row r="333" spans="1:20" outlineLevel="1" x14ac:dyDescent="0.25">
      <c r="A333" s="4" t="s">
        <v>967</v>
      </c>
      <c r="B333" s="75" t="s">
        <v>269</v>
      </c>
      <c r="C333" s="25"/>
      <c r="D333" s="92">
        <v>1</v>
      </c>
      <c r="E333" s="110">
        <v>2800</v>
      </c>
      <c r="F333" s="93">
        <f t="shared" si="104"/>
        <v>2800</v>
      </c>
      <c r="G333" s="74">
        <f t="shared" si="98"/>
        <v>0</v>
      </c>
      <c r="H333" s="95">
        <f t="shared" si="99"/>
        <v>2800</v>
      </c>
      <c r="I333" s="112"/>
      <c r="J333" s="57">
        <v>1000</v>
      </c>
      <c r="K333" s="57">
        <v>1800</v>
      </c>
      <c r="L333" s="57"/>
      <c r="M333" s="57"/>
      <c r="N333" s="57"/>
      <c r="O333" s="57"/>
      <c r="P333" s="68"/>
      <c r="Q333" s="58"/>
      <c r="R333" s="76"/>
      <c r="S333" s="76"/>
      <c r="T333" s="128"/>
    </row>
    <row r="334" spans="1:20" outlineLevel="1" x14ac:dyDescent="0.25">
      <c r="A334" s="4" t="s">
        <v>968</v>
      </c>
      <c r="B334" s="75" t="s">
        <v>47</v>
      </c>
      <c r="C334" s="25"/>
      <c r="D334" s="92">
        <v>1</v>
      </c>
      <c r="E334" s="110">
        <v>600</v>
      </c>
      <c r="F334" s="93">
        <f t="shared" si="104"/>
        <v>600</v>
      </c>
      <c r="G334" s="74">
        <f t="shared" si="98"/>
        <v>0</v>
      </c>
      <c r="H334" s="95">
        <f t="shared" si="99"/>
        <v>600</v>
      </c>
      <c r="I334" s="112"/>
      <c r="J334" s="57"/>
      <c r="K334" s="57">
        <v>600</v>
      </c>
      <c r="L334" s="57"/>
      <c r="M334" s="57"/>
      <c r="N334" s="57"/>
      <c r="O334" s="57"/>
      <c r="P334" s="68"/>
      <c r="Q334" s="58"/>
      <c r="R334" s="76"/>
      <c r="S334" s="76"/>
      <c r="T334" s="128"/>
    </row>
    <row r="335" spans="1:20" s="3" customFormat="1" ht="15.75" x14ac:dyDescent="0.25">
      <c r="A335" s="7" t="s">
        <v>301</v>
      </c>
      <c r="B335" s="13" t="s">
        <v>249</v>
      </c>
      <c r="C335" s="23"/>
      <c r="D335" s="24"/>
      <c r="E335" s="17"/>
      <c r="F335" s="82">
        <f>SUM(F336:F339)</f>
        <v>67800</v>
      </c>
      <c r="G335" s="89">
        <f t="shared" si="98"/>
        <v>9.750000000349246E-2</v>
      </c>
      <c r="H335" s="18">
        <f t="shared" si="99"/>
        <v>67800.097500000003</v>
      </c>
      <c r="I335" s="54">
        <f t="shared" ref="I335:Q335" si="105">SUM(I336:I339)</f>
        <v>0</v>
      </c>
      <c r="J335" s="55">
        <f t="shared" si="105"/>
        <v>7982</v>
      </c>
      <c r="K335" s="55">
        <f t="shared" si="105"/>
        <v>34167.172500000001</v>
      </c>
      <c r="L335" s="55">
        <f t="shared" si="105"/>
        <v>25650.924999999999</v>
      </c>
      <c r="M335" s="55">
        <f t="shared" si="105"/>
        <v>0</v>
      </c>
      <c r="N335" s="55">
        <f t="shared" si="105"/>
        <v>0</v>
      </c>
      <c r="O335" s="55">
        <f t="shared" si="105"/>
        <v>0</v>
      </c>
      <c r="P335" s="55">
        <f t="shared" si="105"/>
        <v>0</v>
      </c>
      <c r="Q335" s="56">
        <f t="shared" si="105"/>
        <v>0</v>
      </c>
      <c r="R335" s="33">
        <v>54637</v>
      </c>
      <c r="S335" s="33">
        <f>50988.47+5709.35</f>
        <v>56697.82</v>
      </c>
      <c r="T335" s="127">
        <f>S335*100/R335</f>
        <v>103.77183959587825</v>
      </c>
    </row>
    <row r="336" spans="1:20" outlineLevel="1" x14ac:dyDescent="0.25">
      <c r="A336" s="4" t="s">
        <v>302</v>
      </c>
      <c r="B336" s="75" t="s">
        <v>999</v>
      </c>
      <c r="C336" s="25"/>
      <c r="D336" s="92">
        <v>1</v>
      </c>
      <c r="E336" s="110">
        <v>53568</v>
      </c>
      <c r="F336" s="93">
        <f>D336*E336</f>
        <v>53568</v>
      </c>
      <c r="G336" s="74">
        <f t="shared" si="98"/>
        <v>9.750000000349246E-2</v>
      </c>
      <c r="H336" s="95">
        <f t="shared" si="99"/>
        <v>53568.097500000003</v>
      </c>
      <c r="I336" s="112"/>
      <c r="J336" s="57">
        <v>6000</v>
      </c>
      <c r="K336" s="57">
        <f>43303*0.95*0.85-7000-1050-4200-800</f>
        <v>21917.172500000001</v>
      </c>
      <c r="L336" s="57">
        <f>36145*0.9*0.85-2000</f>
        <v>25650.924999999999</v>
      </c>
      <c r="M336" s="57"/>
      <c r="N336" s="57"/>
      <c r="O336" s="57"/>
      <c r="P336" s="68"/>
      <c r="Q336" s="58"/>
      <c r="R336" s="76"/>
      <c r="S336" s="76"/>
      <c r="T336" s="128"/>
    </row>
    <row r="337" spans="1:20" outlineLevel="1" x14ac:dyDescent="0.25">
      <c r="A337" s="6" t="s">
        <v>303</v>
      </c>
      <c r="B337" s="75" t="s">
        <v>936</v>
      </c>
      <c r="C337" s="25"/>
      <c r="D337" s="92">
        <v>2</v>
      </c>
      <c r="E337" s="110">
        <v>3500</v>
      </c>
      <c r="F337" s="93">
        <f>D337*E337</f>
        <v>7000</v>
      </c>
      <c r="G337" s="74">
        <f t="shared" si="98"/>
        <v>0</v>
      </c>
      <c r="H337" s="95">
        <f t="shared" ref="H337:H386" si="106">SUM(I337:Q337)</f>
        <v>7000</v>
      </c>
      <c r="I337" s="112"/>
      <c r="J337" s="57"/>
      <c r="K337" s="57">
        <v>7000</v>
      </c>
      <c r="L337" s="57"/>
      <c r="M337" s="57"/>
      <c r="N337" s="57"/>
      <c r="O337" s="57"/>
      <c r="P337" s="68"/>
      <c r="Q337" s="58"/>
      <c r="R337" s="76"/>
      <c r="S337" s="76"/>
      <c r="T337" s="128"/>
    </row>
    <row r="338" spans="1:20" outlineLevel="1" x14ac:dyDescent="0.25">
      <c r="A338" s="4" t="s">
        <v>304</v>
      </c>
      <c r="B338" s="75" t="s">
        <v>268</v>
      </c>
      <c r="C338" s="25"/>
      <c r="D338" s="92">
        <v>1</v>
      </c>
      <c r="E338" s="110">
        <f>2950-1900</f>
        <v>1050</v>
      </c>
      <c r="F338" s="93">
        <f>D338*E338</f>
        <v>1050</v>
      </c>
      <c r="G338" s="74">
        <f t="shared" si="98"/>
        <v>0</v>
      </c>
      <c r="H338" s="95">
        <f t="shared" si="106"/>
        <v>1050</v>
      </c>
      <c r="I338" s="112"/>
      <c r="J338" s="57"/>
      <c r="K338" s="57">
        <v>1050</v>
      </c>
      <c r="L338" s="57"/>
      <c r="M338" s="57"/>
      <c r="N338" s="57"/>
      <c r="O338" s="57"/>
      <c r="P338" s="68"/>
      <c r="Q338" s="58"/>
      <c r="R338" s="76"/>
      <c r="S338" s="76"/>
      <c r="T338" s="128"/>
    </row>
    <row r="339" spans="1:20" outlineLevel="1" x14ac:dyDescent="0.25">
      <c r="A339" s="4" t="s">
        <v>305</v>
      </c>
      <c r="B339" s="75" t="s">
        <v>269</v>
      </c>
      <c r="C339" s="25"/>
      <c r="D339" s="92">
        <v>2</v>
      </c>
      <c r="E339" s="110">
        <f>2800+285+6</f>
        <v>3091</v>
      </c>
      <c r="F339" s="93">
        <f>D339*E339</f>
        <v>6182</v>
      </c>
      <c r="G339" s="74">
        <f t="shared" si="98"/>
        <v>0</v>
      </c>
      <c r="H339" s="95">
        <f t="shared" si="106"/>
        <v>6182</v>
      </c>
      <c r="I339" s="112"/>
      <c r="J339" s="57">
        <v>1982</v>
      </c>
      <c r="K339" s="57">
        <v>4200</v>
      </c>
      <c r="L339" s="57"/>
      <c r="M339" s="57"/>
      <c r="N339" s="57"/>
      <c r="O339" s="57"/>
      <c r="P339" s="68"/>
      <c r="Q339" s="58"/>
      <c r="R339" s="76"/>
      <c r="S339" s="76"/>
      <c r="T339" s="128"/>
    </row>
    <row r="340" spans="1:20" s="3" customFormat="1" ht="15.75" x14ac:dyDescent="0.25">
      <c r="A340" s="7" t="s">
        <v>618</v>
      </c>
      <c r="B340" s="13" t="s">
        <v>250</v>
      </c>
      <c r="C340" s="23"/>
      <c r="D340" s="24"/>
      <c r="E340" s="17"/>
      <c r="F340" s="82">
        <f>SUM(F341:F347)</f>
        <v>13550</v>
      </c>
      <c r="G340" s="89">
        <f t="shared" si="98"/>
        <v>0</v>
      </c>
      <c r="H340" s="18">
        <f t="shared" si="106"/>
        <v>13550</v>
      </c>
      <c r="I340" s="54">
        <f t="shared" ref="I340:Q340" si="107">SUM(I341:I347)</f>
        <v>2750</v>
      </c>
      <c r="J340" s="55">
        <f t="shared" si="107"/>
        <v>8000</v>
      </c>
      <c r="K340" s="55">
        <f t="shared" si="107"/>
        <v>800</v>
      </c>
      <c r="L340" s="55">
        <f t="shared" si="107"/>
        <v>2000</v>
      </c>
      <c r="M340" s="55">
        <f t="shared" si="107"/>
        <v>0</v>
      </c>
      <c r="N340" s="55">
        <f t="shared" si="107"/>
        <v>0</v>
      </c>
      <c r="O340" s="55">
        <f t="shared" si="107"/>
        <v>0</v>
      </c>
      <c r="P340" s="55">
        <f t="shared" si="107"/>
        <v>0</v>
      </c>
      <c r="Q340" s="56">
        <f t="shared" si="107"/>
        <v>0</v>
      </c>
      <c r="R340" s="33">
        <v>11750</v>
      </c>
      <c r="S340" s="33">
        <f>667.34+1690.64+500+400+4459.09+3642.84+647.24</f>
        <v>12007.15</v>
      </c>
      <c r="T340" s="127">
        <f>S340*100/R340</f>
        <v>102.18851063829787</v>
      </c>
    </row>
    <row r="341" spans="1:20" outlineLevel="1" x14ac:dyDescent="0.25">
      <c r="A341" s="4" t="s">
        <v>978</v>
      </c>
      <c r="B341" s="75" t="s">
        <v>998</v>
      </c>
      <c r="C341" s="25"/>
      <c r="D341" s="92">
        <v>2</v>
      </c>
      <c r="E341" s="110">
        <v>400</v>
      </c>
      <c r="F341" s="93">
        <f t="shared" ref="F341:F347" si="108">D341*E341</f>
        <v>800</v>
      </c>
      <c r="G341" s="74">
        <f t="shared" si="98"/>
        <v>0</v>
      </c>
      <c r="H341" s="95">
        <f t="shared" si="106"/>
        <v>800</v>
      </c>
      <c r="I341" s="112"/>
      <c r="J341" s="57"/>
      <c r="K341" s="57">
        <v>800</v>
      </c>
      <c r="L341" s="57"/>
      <c r="M341" s="57"/>
      <c r="N341" s="57"/>
      <c r="O341" s="57"/>
      <c r="P341" s="68"/>
      <c r="Q341" s="58"/>
      <c r="R341" s="76"/>
      <c r="S341" s="76"/>
      <c r="T341" s="128"/>
    </row>
    <row r="342" spans="1:20" outlineLevel="1" x14ac:dyDescent="0.25">
      <c r="A342" s="4" t="s">
        <v>979</v>
      </c>
      <c r="B342" s="75" t="s">
        <v>270</v>
      </c>
      <c r="C342" s="25"/>
      <c r="D342" s="92">
        <v>1</v>
      </c>
      <c r="E342" s="110">
        <v>400</v>
      </c>
      <c r="F342" s="93">
        <f>D342*E342</f>
        <v>400</v>
      </c>
      <c r="G342" s="74">
        <f t="shared" si="98"/>
        <v>0</v>
      </c>
      <c r="H342" s="95">
        <f t="shared" si="106"/>
        <v>400</v>
      </c>
      <c r="I342" s="112">
        <v>400</v>
      </c>
      <c r="J342" s="57"/>
      <c r="K342" s="57"/>
      <c r="L342" s="57"/>
      <c r="M342" s="57"/>
      <c r="N342" s="57"/>
      <c r="O342" s="57"/>
      <c r="P342" s="68"/>
      <c r="Q342" s="58"/>
      <c r="R342" s="76"/>
      <c r="S342" s="76"/>
      <c r="T342" s="128"/>
    </row>
    <row r="343" spans="1:20" outlineLevel="1" x14ac:dyDescent="0.25">
      <c r="A343" s="4" t="s">
        <v>980</v>
      </c>
      <c r="B343" s="75" t="s">
        <v>266</v>
      </c>
      <c r="C343" s="25"/>
      <c r="D343" s="92">
        <v>1</v>
      </c>
      <c r="E343" s="110">
        <v>1200</v>
      </c>
      <c r="F343" s="93">
        <f>D343*E343</f>
        <v>1200</v>
      </c>
      <c r="G343" s="74">
        <f t="shared" si="98"/>
        <v>0</v>
      </c>
      <c r="H343" s="95">
        <f t="shared" si="106"/>
        <v>1200</v>
      </c>
      <c r="I343" s="112">
        <v>1200</v>
      </c>
      <c r="J343" s="57"/>
      <c r="K343" s="57"/>
      <c r="L343" s="57"/>
      <c r="M343" s="57"/>
      <c r="N343" s="57"/>
      <c r="O343" s="57"/>
      <c r="P343" s="68"/>
      <c r="Q343" s="58"/>
      <c r="R343" s="76"/>
      <c r="S343" s="76"/>
      <c r="T343" s="128"/>
    </row>
    <row r="344" spans="1:20" outlineLevel="1" x14ac:dyDescent="0.25">
      <c r="A344" s="4" t="s">
        <v>649</v>
      </c>
      <c r="B344" s="75" t="s">
        <v>271</v>
      </c>
      <c r="C344" s="25"/>
      <c r="D344" s="92">
        <v>1</v>
      </c>
      <c r="E344" s="110">
        <v>450</v>
      </c>
      <c r="F344" s="93">
        <f t="shared" si="108"/>
        <v>450</v>
      </c>
      <c r="G344" s="74">
        <f t="shared" si="98"/>
        <v>0</v>
      </c>
      <c r="H344" s="95">
        <f t="shared" si="106"/>
        <v>450</v>
      </c>
      <c r="I344" s="112">
        <v>450</v>
      </c>
      <c r="J344" s="57"/>
      <c r="K344" s="57"/>
      <c r="L344" s="57"/>
      <c r="M344" s="57"/>
      <c r="N344" s="57"/>
      <c r="O344" s="57"/>
      <c r="P344" s="68"/>
      <c r="Q344" s="58"/>
      <c r="R344" s="76"/>
      <c r="S344" s="76"/>
      <c r="T344" s="128"/>
    </row>
    <row r="345" spans="1:20" outlineLevel="1" x14ac:dyDescent="0.25">
      <c r="A345" s="4" t="s">
        <v>650</v>
      </c>
      <c r="B345" s="75" t="s">
        <v>272</v>
      </c>
      <c r="C345" s="25"/>
      <c r="D345" s="92">
        <v>1</v>
      </c>
      <c r="E345" s="110">
        <v>8000</v>
      </c>
      <c r="F345" s="93">
        <f>D345*E345</f>
        <v>8000</v>
      </c>
      <c r="G345" s="74">
        <f t="shared" si="98"/>
        <v>0</v>
      </c>
      <c r="H345" s="95">
        <f t="shared" si="106"/>
        <v>8000</v>
      </c>
      <c r="I345" s="112"/>
      <c r="J345" s="57">
        <v>8000</v>
      </c>
      <c r="K345" s="57"/>
      <c r="L345" s="57"/>
      <c r="M345" s="57"/>
      <c r="N345" s="57"/>
      <c r="O345" s="57"/>
      <c r="P345" s="68"/>
      <c r="Q345" s="58"/>
      <c r="R345" s="76"/>
      <c r="S345" s="76"/>
      <c r="T345" s="128"/>
    </row>
    <row r="346" spans="1:20" outlineLevel="1" x14ac:dyDescent="0.25">
      <c r="A346" s="4" t="s">
        <v>651</v>
      </c>
      <c r="B346" s="75" t="s">
        <v>961</v>
      </c>
      <c r="C346" s="25"/>
      <c r="D346" s="92">
        <v>1</v>
      </c>
      <c r="E346" s="110">
        <v>2000</v>
      </c>
      <c r="F346" s="93">
        <f>D346*E346</f>
        <v>2000</v>
      </c>
      <c r="G346" s="74">
        <f t="shared" si="98"/>
        <v>0</v>
      </c>
      <c r="H346" s="95">
        <f t="shared" si="106"/>
        <v>2000</v>
      </c>
      <c r="I346" s="112"/>
      <c r="J346" s="57"/>
      <c r="K346" s="57"/>
      <c r="L346" s="57">
        <v>2000</v>
      </c>
      <c r="M346" s="57"/>
      <c r="N346" s="57"/>
      <c r="O346" s="57"/>
      <c r="P346" s="68"/>
      <c r="Q346" s="58"/>
      <c r="R346" s="76"/>
      <c r="S346" s="76"/>
      <c r="T346" s="128"/>
    </row>
    <row r="347" spans="1:20" outlineLevel="1" x14ac:dyDescent="0.25">
      <c r="A347" s="4" t="s">
        <v>651</v>
      </c>
      <c r="B347" s="75" t="s">
        <v>837</v>
      </c>
      <c r="C347" s="25"/>
      <c r="D347" s="92">
        <v>1</v>
      </c>
      <c r="E347" s="110">
        <v>700</v>
      </c>
      <c r="F347" s="93">
        <f t="shared" si="108"/>
        <v>700</v>
      </c>
      <c r="G347" s="74">
        <f t="shared" si="98"/>
        <v>0</v>
      </c>
      <c r="H347" s="95">
        <f t="shared" si="106"/>
        <v>700</v>
      </c>
      <c r="I347" s="112">
        <v>700</v>
      </c>
      <c r="J347" s="57"/>
      <c r="K347" s="57"/>
      <c r="L347" s="57"/>
      <c r="M347" s="57"/>
      <c r="N347" s="57"/>
      <c r="O347" s="57"/>
      <c r="P347" s="68"/>
      <c r="Q347" s="58"/>
      <c r="R347" s="76"/>
      <c r="S347" s="76"/>
      <c r="T347" s="128"/>
    </row>
    <row r="348" spans="1:20" s="3" customFormat="1" ht="15.75" x14ac:dyDescent="0.25">
      <c r="A348" s="7" t="s">
        <v>652</v>
      </c>
      <c r="B348" s="13" t="s">
        <v>495</v>
      </c>
      <c r="C348" s="23"/>
      <c r="D348" s="24"/>
      <c r="E348" s="17"/>
      <c r="F348" s="82">
        <f>SUM(F349:F349)</f>
        <v>16894</v>
      </c>
      <c r="G348" s="89">
        <f t="shared" si="98"/>
        <v>4.9999999999272404E-2</v>
      </c>
      <c r="H348" s="18">
        <f t="shared" si="106"/>
        <v>16894.05</v>
      </c>
      <c r="I348" s="54">
        <f t="shared" ref="I348:Q348" si="109">SUM(I349:I349)</f>
        <v>0</v>
      </c>
      <c r="J348" s="55">
        <f t="shared" si="109"/>
        <v>0</v>
      </c>
      <c r="K348" s="55">
        <f t="shared" si="109"/>
        <v>11337.15</v>
      </c>
      <c r="L348" s="55">
        <f t="shared" si="109"/>
        <v>5556.9</v>
      </c>
      <c r="M348" s="55">
        <f t="shared" si="109"/>
        <v>0</v>
      </c>
      <c r="N348" s="55">
        <f t="shared" si="109"/>
        <v>0</v>
      </c>
      <c r="O348" s="55">
        <f t="shared" si="109"/>
        <v>0</v>
      </c>
      <c r="P348" s="55">
        <f t="shared" si="109"/>
        <v>0</v>
      </c>
      <c r="Q348" s="56">
        <f t="shared" si="109"/>
        <v>0</v>
      </c>
      <c r="R348" s="33">
        <v>17200</v>
      </c>
      <c r="S348" s="33">
        <v>17200</v>
      </c>
      <c r="T348" s="127">
        <f>S348*100/R348</f>
        <v>100</v>
      </c>
    </row>
    <row r="349" spans="1:20" outlineLevel="1" x14ac:dyDescent="0.25">
      <c r="A349" s="4" t="s">
        <v>653</v>
      </c>
      <c r="B349" s="75" t="s">
        <v>495</v>
      </c>
      <c r="C349" s="25"/>
      <c r="D349" s="92">
        <v>1</v>
      </c>
      <c r="E349" s="110">
        <v>16894</v>
      </c>
      <c r="F349" s="93">
        <f>D349*E349</f>
        <v>16894</v>
      </c>
      <c r="G349" s="74">
        <f t="shared" si="98"/>
        <v>4.9999999999272404E-2</v>
      </c>
      <c r="H349" s="95">
        <f t="shared" si="106"/>
        <v>16894.05</v>
      </c>
      <c r="I349" s="112"/>
      <c r="J349" s="57"/>
      <c r="K349" s="57">
        <f>+(34443+41138)*0.15</f>
        <v>11337.15</v>
      </c>
      <c r="L349" s="57">
        <f>+(4515+32531)*0.15</f>
        <v>5556.9</v>
      </c>
      <c r="M349" s="57"/>
      <c r="N349" s="57"/>
      <c r="O349" s="57"/>
      <c r="P349" s="68"/>
      <c r="Q349" s="58"/>
      <c r="R349" s="76"/>
      <c r="S349" s="76"/>
      <c r="T349" s="128"/>
    </row>
    <row r="350" spans="1:20" s="2" customFormat="1" ht="21" x14ac:dyDescent="0.35">
      <c r="A350" s="8" t="s">
        <v>307</v>
      </c>
      <c r="B350" s="12" t="s">
        <v>282</v>
      </c>
      <c r="C350" s="21"/>
      <c r="D350" s="22"/>
      <c r="E350" s="15"/>
      <c r="F350" s="84">
        <f>F351+F356+F360+F363+F366+F368</f>
        <v>11318.2</v>
      </c>
      <c r="G350" s="89">
        <f t="shared" si="98"/>
        <v>-0.60499999999956344</v>
      </c>
      <c r="H350" s="16">
        <f t="shared" si="106"/>
        <v>11317.595000000001</v>
      </c>
      <c r="I350" s="51">
        <f t="shared" ref="I350:Q350" si="110">I351+I356+I360+I363+I366+I368</f>
        <v>750</v>
      </c>
      <c r="J350" s="51">
        <f t="shared" si="110"/>
        <v>0</v>
      </c>
      <c r="K350" s="51">
        <f t="shared" si="110"/>
        <v>2287.2550000000001</v>
      </c>
      <c r="L350" s="51">
        <f t="shared" si="110"/>
        <v>8280.34</v>
      </c>
      <c r="M350" s="51">
        <f t="shared" si="110"/>
        <v>0</v>
      </c>
      <c r="N350" s="51">
        <f t="shared" si="110"/>
        <v>0</v>
      </c>
      <c r="O350" s="51">
        <f t="shared" si="110"/>
        <v>0</v>
      </c>
      <c r="P350" s="51">
        <f t="shared" si="110"/>
        <v>0</v>
      </c>
      <c r="Q350" s="59">
        <f t="shared" si="110"/>
        <v>0</v>
      </c>
      <c r="R350" s="32">
        <f>+R351+R356+R360+R363+R366+R368</f>
        <v>14199</v>
      </c>
      <c r="S350" s="32">
        <f>S351+S356+S360+S363+S366+S368</f>
        <v>15832.130000000001</v>
      </c>
      <c r="T350" s="126">
        <f>S350*100/R350</f>
        <v>111.5017254736249</v>
      </c>
    </row>
    <row r="351" spans="1:20" s="3" customFormat="1" ht="15.75" x14ac:dyDescent="0.25">
      <c r="A351" s="7" t="s">
        <v>344</v>
      </c>
      <c r="B351" s="13" t="s">
        <v>265</v>
      </c>
      <c r="C351" s="23"/>
      <c r="D351" s="24"/>
      <c r="E351" s="17"/>
      <c r="F351" s="82">
        <f>SUM(F352:F355)</f>
        <v>750</v>
      </c>
      <c r="G351" s="89">
        <f t="shared" si="98"/>
        <v>0</v>
      </c>
      <c r="H351" s="18">
        <f t="shared" si="106"/>
        <v>750</v>
      </c>
      <c r="I351" s="54">
        <f t="shared" ref="I351:Q351" si="111">SUM(I352:I355)</f>
        <v>750</v>
      </c>
      <c r="J351" s="55">
        <f t="shared" si="111"/>
        <v>0</v>
      </c>
      <c r="K351" s="55">
        <f t="shared" si="111"/>
        <v>0</v>
      </c>
      <c r="L351" s="55">
        <f t="shared" si="111"/>
        <v>0</v>
      </c>
      <c r="M351" s="55">
        <f>SUM(M352:M355)</f>
        <v>0</v>
      </c>
      <c r="N351" s="55">
        <f t="shared" si="111"/>
        <v>0</v>
      </c>
      <c r="O351" s="55">
        <f t="shared" si="111"/>
        <v>0</v>
      </c>
      <c r="P351" s="55">
        <f t="shared" si="111"/>
        <v>0</v>
      </c>
      <c r="Q351" s="56">
        <f t="shared" si="111"/>
        <v>0</v>
      </c>
      <c r="R351" s="33">
        <v>500</v>
      </c>
      <c r="S351" s="33">
        <f>SUM(S352:S355)</f>
        <v>0</v>
      </c>
      <c r="T351" s="127">
        <f>S351*100/R351</f>
        <v>0</v>
      </c>
    </row>
    <row r="352" spans="1:20" outlineLevel="1" x14ac:dyDescent="0.25">
      <c r="A352" s="5" t="s">
        <v>345</v>
      </c>
      <c r="B352" s="75" t="s">
        <v>281</v>
      </c>
      <c r="C352" s="25"/>
      <c r="D352" s="92">
        <v>1</v>
      </c>
      <c r="E352" s="110">
        <v>200</v>
      </c>
      <c r="F352" s="93">
        <f>D352*E352</f>
        <v>200</v>
      </c>
      <c r="G352" s="74">
        <f t="shared" si="98"/>
        <v>0</v>
      </c>
      <c r="H352" s="95">
        <f t="shared" si="106"/>
        <v>200</v>
      </c>
      <c r="I352" s="112">
        <v>200</v>
      </c>
      <c r="J352" s="57"/>
      <c r="K352" s="57"/>
      <c r="L352" s="57"/>
      <c r="M352" s="57"/>
      <c r="N352" s="57"/>
      <c r="O352" s="57"/>
      <c r="P352" s="68"/>
      <c r="Q352" s="58"/>
      <c r="R352" s="76"/>
      <c r="S352" s="76"/>
      <c r="T352" s="128"/>
    </row>
    <row r="353" spans="1:20" outlineLevel="1" x14ac:dyDescent="0.25">
      <c r="A353" s="4" t="s">
        <v>346</v>
      </c>
      <c r="B353" s="75" t="s">
        <v>309</v>
      </c>
      <c r="C353" s="25"/>
      <c r="D353" s="92">
        <v>4</v>
      </c>
      <c r="E353" s="110">
        <v>100</v>
      </c>
      <c r="F353" s="93">
        <f>D353*E353</f>
        <v>400</v>
      </c>
      <c r="G353" s="74">
        <f t="shared" si="98"/>
        <v>0</v>
      </c>
      <c r="H353" s="95">
        <f t="shared" si="106"/>
        <v>400</v>
      </c>
      <c r="I353" s="112">
        <v>400</v>
      </c>
      <c r="J353" s="57"/>
      <c r="K353" s="57"/>
      <c r="L353" s="57"/>
      <c r="M353" s="57"/>
      <c r="N353" s="57"/>
      <c r="O353" s="57"/>
      <c r="P353" s="68"/>
      <c r="Q353" s="58"/>
      <c r="R353" s="76"/>
      <c r="S353" s="76"/>
      <c r="T353" s="128"/>
    </row>
    <row r="354" spans="1:20" outlineLevel="1" x14ac:dyDescent="0.25">
      <c r="A354" s="4" t="s">
        <v>347</v>
      </c>
      <c r="B354" s="75" t="s">
        <v>285</v>
      </c>
      <c r="C354" s="25"/>
      <c r="D354" s="92">
        <v>3</v>
      </c>
      <c r="E354" s="110">
        <v>50</v>
      </c>
      <c r="F354" s="93">
        <f>D354*E354</f>
        <v>150</v>
      </c>
      <c r="G354" s="74">
        <f t="shared" si="98"/>
        <v>0</v>
      </c>
      <c r="H354" s="95">
        <f t="shared" si="106"/>
        <v>150</v>
      </c>
      <c r="I354" s="112">
        <v>150</v>
      </c>
      <c r="J354" s="57"/>
      <c r="K354" s="57"/>
      <c r="L354" s="57"/>
      <c r="M354" s="57"/>
      <c r="N354" s="57"/>
      <c r="O354" s="57"/>
      <c r="P354" s="68"/>
      <c r="Q354" s="58"/>
      <c r="R354" s="76"/>
      <c r="S354" s="76"/>
      <c r="T354" s="128"/>
    </row>
    <row r="355" spans="1:20" outlineLevel="1" x14ac:dyDescent="0.25">
      <c r="A355" s="4" t="s">
        <v>348</v>
      </c>
      <c r="B355" s="75" t="s">
        <v>47</v>
      </c>
      <c r="C355" s="25"/>
      <c r="D355" s="92">
        <v>0</v>
      </c>
      <c r="E355" s="110">
        <v>0</v>
      </c>
      <c r="F355" s="93">
        <f>D355*E355</f>
        <v>0</v>
      </c>
      <c r="G355" s="74">
        <f t="shared" si="98"/>
        <v>0</v>
      </c>
      <c r="H355" s="95">
        <f t="shared" si="106"/>
        <v>0</v>
      </c>
      <c r="I355" s="112">
        <f>F355</f>
        <v>0</v>
      </c>
      <c r="J355" s="57"/>
      <c r="K355" s="57"/>
      <c r="L355" s="57"/>
      <c r="M355" s="57"/>
      <c r="N355" s="57"/>
      <c r="O355" s="57"/>
      <c r="P355" s="68"/>
      <c r="Q355" s="58"/>
      <c r="R355" s="76"/>
      <c r="S355" s="76"/>
      <c r="T355" s="128"/>
    </row>
    <row r="356" spans="1:20" s="3" customFormat="1" ht="15.75" x14ac:dyDescent="0.25">
      <c r="A356" s="7" t="s">
        <v>349</v>
      </c>
      <c r="B356" s="13" t="s">
        <v>248</v>
      </c>
      <c r="C356" s="23"/>
      <c r="D356" s="24"/>
      <c r="E356" s="17"/>
      <c r="F356" s="82">
        <f>SUM(F357:F359)</f>
        <v>0</v>
      </c>
      <c r="G356" s="89">
        <f t="shared" si="98"/>
        <v>0</v>
      </c>
      <c r="H356" s="18">
        <f t="shared" si="106"/>
        <v>0</v>
      </c>
      <c r="I356" s="54">
        <f t="shared" ref="I356:Q356" si="112">SUM(I357:I359)</f>
        <v>0</v>
      </c>
      <c r="J356" s="55">
        <f t="shared" si="112"/>
        <v>0</v>
      </c>
      <c r="K356" s="55">
        <f t="shared" si="112"/>
        <v>0</v>
      </c>
      <c r="L356" s="55">
        <f t="shared" si="112"/>
        <v>0</v>
      </c>
      <c r="M356" s="55">
        <f t="shared" si="112"/>
        <v>0</v>
      </c>
      <c r="N356" s="55">
        <f t="shared" si="112"/>
        <v>0</v>
      </c>
      <c r="O356" s="55">
        <f t="shared" si="112"/>
        <v>0</v>
      </c>
      <c r="P356" s="55">
        <f t="shared" si="112"/>
        <v>0</v>
      </c>
      <c r="Q356" s="56">
        <f t="shared" si="112"/>
        <v>0</v>
      </c>
      <c r="R356" s="33">
        <v>0</v>
      </c>
      <c r="S356" s="33">
        <f>SUM(S357:S359)</f>
        <v>0</v>
      </c>
      <c r="T356" s="127"/>
    </row>
    <row r="357" spans="1:20" outlineLevel="1" x14ac:dyDescent="0.25">
      <c r="A357" s="4" t="s">
        <v>350</v>
      </c>
      <c r="B357" s="75" t="s">
        <v>287</v>
      </c>
      <c r="C357" s="25"/>
      <c r="D357" s="92"/>
      <c r="E357" s="110"/>
      <c r="F357" s="93">
        <f>D357*E357</f>
        <v>0</v>
      </c>
      <c r="G357" s="74">
        <f t="shared" si="98"/>
        <v>0</v>
      </c>
      <c r="H357" s="95">
        <f t="shared" si="106"/>
        <v>0</v>
      </c>
      <c r="I357" s="112"/>
      <c r="J357" s="57"/>
      <c r="K357" s="57"/>
      <c r="L357" s="57"/>
      <c r="M357" s="57"/>
      <c r="N357" s="57"/>
      <c r="O357" s="57"/>
      <c r="P357" s="68"/>
      <c r="Q357" s="58"/>
      <c r="R357" s="76"/>
      <c r="S357" s="76"/>
      <c r="T357" s="128"/>
    </row>
    <row r="358" spans="1:20" outlineLevel="1" x14ac:dyDescent="0.25">
      <c r="A358" s="4" t="s">
        <v>351</v>
      </c>
      <c r="B358" s="75" t="s">
        <v>288</v>
      </c>
      <c r="C358" s="25"/>
      <c r="D358" s="92"/>
      <c r="E358" s="110"/>
      <c r="F358" s="93">
        <f>D358*E358</f>
        <v>0</v>
      </c>
      <c r="G358" s="74">
        <f t="shared" si="98"/>
        <v>0</v>
      </c>
      <c r="H358" s="95">
        <f t="shared" si="106"/>
        <v>0</v>
      </c>
      <c r="I358" s="112"/>
      <c r="J358" s="57"/>
      <c r="K358" s="57"/>
      <c r="L358" s="57"/>
      <c r="M358" s="57"/>
      <c r="N358" s="57"/>
      <c r="O358" s="57"/>
      <c r="P358" s="68"/>
      <c r="Q358" s="58"/>
      <c r="R358" s="76"/>
      <c r="S358" s="76"/>
      <c r="T358" s="128"/>
    </row>
    <row r="359" spans="1:20" outlineLevel="1" x14ac:dyDescent="0.25">
      <c r="A359" s="4" t="s">
        <v>352</v>
      </c>
      <c r="B359" s="75" t="s">
        <v>47</v>
      </c>
      <c r="C359" s="25"/>
      <c r="D359" s="92"/>
      <c r="E359" s="110"/>
      <c r="F359" s="93">
        <f>D359*E359</f>
        <v>0</v>
      </c>
      <c r="G359" s="74">
        <f t="shared" si="98"/>
        <v>0</v>
      </c>
      <c r="H359" s="95">
        <f t="shared" si="106"/>
        <v>0</v>
      </c>
      <c r="I359" s="112"/>
      <c r="J359" s="57"/>
      <c r="K359" s="57"/>
      <c r="L359" s="57"/>
      <c r="M359" s="57"/>
      <c r="N359" s="57"/>
      <c r="O359" s="57"/>
      <c r="P359" s="68"/>
      <c r="Q359" s="58"/>
      <c r="R359" s="76"/>
      <c r="S359" s="76"/>
      <c r="T359" s="128"/>
    </row>
    <row r="360" spans="1:20" s="3" customFormat="1" ht="15.75" x14ac:dyDescent="0.25">
      <c r="A360" s="7" t="s">
        <v>353</v>
      </c>
      <c r="B360" s="13" t="s">
        <v>700</v>
      </c>
      <c r="C360" s="23"/>
      <c r="D360" s="24"/>
      <c r="E360" s="17"/>
      <c r="F360" s="82">
        <f>SUM(F361:F362)</f>
        <v>5601</v>
      </c>
      <c r="G360" s="89">
        <f t="shared" si="98"/>
        <v>-0.125</v>
      </c>
      <c r="H360" s="18">
        <f t="shared" si="106"/>
        <v>5600.875</v>
      </c>
      <c r="I360" s="54">
        <f t="shared" ref="I360:Q360" si="113">SUM(I361:I362)</f>
        <v>0</v>
      </c>
      <c r="J360" s="55">
        <f t="shared" si="113"/>
        <v>0</v>
      </c>
      <c r="K360" s="55">
        <f t="shared" si="113"/>
        <v>1869.2049999999999</v>
      </c>
      <c r="L360" s="55">
        <f t="shared" si="113"/>
        <v>3731.6699999999996</v>
      </c>
      <c r="M360" s="55">
        <f t="shared" si="113"/>
        <v>0</v>
      </c>
      <c r="N360" s="55">
        <f t="shared" si="113"/>
        <v>0</v>
      </c>
      <c r="O360" s="55">
        <f t="shared" si="113"/>
        <v>0</v>
      </c>
      <c r="P360" s="55">
        <f t="shared" si="113"/>
        <v>0</v>
      </c>
      <c r="Q360" s="56">
        <f t="shared" si="113"/>
        <v>0</v>
      </c>
      <c r="R360" s="33">
        <v>7160</v>
      </c>
      <c r="S360" s="33">
        <f>10148.6-1821.8+650</f>
        <v>8976.8000000000011</v>
      </c>
      <c r="T360" s="127">
        <f>S360*100/R360</f>
        <v>125.37430167597768</v>
      </c>
    </row>
    <row r="361" spans="1:20" outlineLevel="1" x14ac:dyDescent="0.25">
      <c r="A361" s="4" t="s">
        <v>354</v>
      </c>
      <c r="B361" s="75" t="s">
        <v>862</v>
      </c>
      <c r="C361" s="25"/>
      <c r="D361" s="92">
        <v>1</v>
      </c>
      <c r="E361" s="110">
        <f>6101-500</f>
        <v>5601</v>
      </c>
      <c r="F361" s="93">
        <f>D361*E361</f>
        <v>5601</v>
      </c>
      <c r="G361" s="74">
        <f t="shared" si="98"/>
        <v>-0.125</v>
      </c>
      <c r="H361" s="95">
        <f t="shared" si="106"/>
        <v>5600.875</v>
      </c>
      <c r="I361" s="112"/>
      <c r="J361" s="57"/>
      <c r="K361" s="57">
        <f>2934*0.95*0.85-500</f>
        <v>1869.2049999999999</v>
      </c>
      <c r="L361" s="57">
        <f>4878*0.9*0.85</f>
        <v>3731.6699999999996</v>
      </c>
      <c r="M361" s="57"/>
      <c r="N361" s="57"/>
      <c r="O361" s="57"/>
      <c r="P361" s="68"/>
      <c r="Q361" s="58"/>
      <c r="R361" s="76"/>
      <c r="S361" s="76"/>
      <c r="T361" s="128"/>
    </row>
    <row r="362" spans="1:20" outlineLevel="1" x14ac:dyDescent="0.25">
      <c r="A362" s="4" t="s">
        <v>355</v>
      </c>
      <c r="B362" s="75" t="s">
        <v>47</v>
      </c>
      <c r="C362" s="25"/>
      <c r="D362" s="92"/>
      <c r="E362" s="110"/>
      <c r="F362" s="93">
        <f>D362*E362</f>
        <v>0</v>
      </c>
      <c r="G362" s="74">
        <f t="shared" si="98"/>
        <v>0</v>
      </c>
      <c r="H362" s="95">
        <f t="shared" si="106"/>
        <v>0</v>
      </c>
      <c r="I362" s="112"/>
      <c r="J362" s="57"/>
      <c r="K362" s="57"/>
      <c r="L362" s="57"/>
      <c r="M362" s="57"/>
      <c r="N362" s="57"/>
      <c r="O362" s="57"/>
      <c r="P362" s="68"/>
      <c r="Q362" s="58"/>
      <c r="R362" s="76"/>
      <c r="S362" s="76"/>
      <c r="T362" s="128"/>
    </row>
    <row r="363" spans="1:20" s="3" customFormat="1" ht="15.75" x14ac:dyDescent="0.25">
      <c r="A363" s="7" t="s">
        <v>356</v>
      </c>
      <c r="B363" s="13" t="s">
        <v>701</v>
      </c>
      <c r="C363" s="23"/>
      <c r="D363" s="24"/>
      <c r="E363" s="17"/>
      <c r="F363" s="82">
        <f>SUM(F364:F365)</f>
        <v>3232</v>
      </c>
      <c r="G363" s="89">
        <f t="shared" si="98"/>
        <v>-0.33000000000038199</v>
      </c>
      <c r="H363" s="18">
        <f t="shared" si="106"/>
        <v>3231.6699999999996</v>
      </c>
      <c r="I363" s="54">
        <f t="shared" ref="I363:Q363" si="114">SUM(I364:I365)</f>
        <v>0</v>
      </c>
      <c r="J363" s="55">
        <f t="shared" si="114"/>
        <v>0</v>
      </c>
      <c r="K363" s="55">
        <f t="shared" si="114"/>
        <v>0</v>
      </c>
      <c r="L363" s="55">
        <f t="shared" si="114"/>
        <v>3231.6699999999996</v>
      </c>
      <c r="M363" s="55">
        <f t="shared" si="114"/>
        <v>0</v>
      </c>
      <c r="N363" s="55">
        <f t="shared" si="114"/>
        <v>0</v>
      </c>
      <c r="O363" s="55">
        <f t="shared" si="114"/>
        <v>0</v>
      </c>
      <c r="P363" s="55">
        <f t="shared" si="114"/>
        <v>0</v>
      </c>
      <c r="Q363" s="56">
        <f t="shared" si="114"/>
        <v>0</v>
      </c>
      <c r="R363" s="33">
        <v>4635</v>
      </c>
      <c r="S363" s="33">
        <f>5683.53-731.71</f>
        <v>4951.82</v>
      </c>
      <c r="T363" s="127">
        <f>S363*100/R363</f>
        <v>106.83538295577131</v>
      </c>
    </row>
    <row r="364" spans="1:20" outlineLevel="1" x14ac:dyDescent="0.25">
      <c r="A364" s="4" t="s">
        <v>357</v>
      </c>
      <c r="B364" s="75" t="s">
        <v>862</v>
      </c>
      <c r="C364" s="25"/>
      <c r="D364" s="92">
        <v>1</v>
      </c>
      <c r="E364" s="110">
        <f>3732-500</f>
        <v>3232</v>
      </c>
      <c r="F364" s="93">
        <f>D364*E364</f>
        <v>3232</v>
      </c>
      <c r="G364" s="74">
        <f t="shared" si="98"/>
        <v>-0.33000000000038199</v>
      </c>
      <c r="H364" s="95">
        <f t="shared" si="106"/>
        <v>3231.6699999999996</v>
      </c>
      <c r="I364" s="112"/>
      <c r="J364" s="57"/>
      <c r="K364" s="57"/>
      <c r="L364" s="57">
        <f>4878*0.9*0.85-500</f>
        <v>3231.6699999999996</v>
      </c>
      <c r="M364" s="57"/>
      <c r="N364" s="57"/>
      <c r="O364" s="57"/>
      <c r="P364" s="68"/>
      <c r="Q364" s="58"/>
      <c r="R364" s="76"/>
      <c r="S364" s="76"/>
      <c r="T364" s="128"/>
    </row>
    <row r="365" spans="1:20" outlineLevel="1" x14ac:dyDescent="0.25">
      <c r="A365" s="6" t="s">
        <v>358</v>
      </c>
      <c r="B365" s="75" t="s">
        <v>47</v>
      </c>
      <c r="C365" s="25"/>
      <c r="D365" s="92"/>
      <c r="E365" s="110"/>
      <c r="F365" s="93">
        <f>D365*E365</f>
        <v>0</v>
      </c>
      <c r="G365" s="74">
        <f t="shared" si="98"/>
        <v>0</v>
      </c>
      <c r="H365" s="95">
        <f t="shared" si="106"/>
        <v>0</v>
      </c>
      <c r="I365" s="112"/>
      <c r="J365" s="57"/>
      <c r="K365" s="57"/>
      <c r="L365" s="57"/>
      <c r="M365" s="57"/>
      <c r="N365" s="57"/>
      <c r="O365" s="57"/>
      <c r="P365" s="68"/>
      <c r="Q365" s="58"/>
      <c r="R365" s="76"/>
      <c r="S365" s="76"/>
      <c r="T365" s="128"/>
    </row>
    <row r="366" spans="1:20" s="3" customFormat="1" ht="15.75" x14ac:dyDescent="0.25">
      <c r="A366" s="7" t="s">
        <v>360</v>
      </c>
      <c r="B366" s="13" t="s">
        <v>250</v>
      </c>
      <c r="C366" s="23"/>
      <c r="D366" s="24"/>
      <c r="E366" s="17"/>
      <c r="F366" s="82">
        <f>SUM(F367:F367)</f>
        <v>0</v>
      </c>
      <c r="G366" s="89">
        <f t="shared" si="98"/>
        <v>0</v>
      </c>
      <c r="H366" s="18">
        <f t="shared" si="106"/>
        <v>0</v>
      </c>
      <c r="I366" s="54">
        <f t="shared" ref="I366:Q366" si="115">SUM(I367:I367)</f>
        <v>0</v>
      </c>
      <c r="J366" s="55">
        <f t="shared" si="115"/>
        <v>0</v>
      </c>
      <c r="K366" s="55">
        <f t="shared" si="115"/>
        <v>0</v>
      </c>
      <c r="L366" s="55">
        <f t="shared" si="115"/>
        <v>0</v>
      </c>
      <c r="M366" s="55">
        <f t="shared" si="115"/>
        <v>0</v>
      </c>
      <c r="N366" s="55">
        <f t="shared" si="115"/>
        <v>0</v>
      </c>
      <c r="O366" s="55">
        <f t="shared" si="115"/>
        <v>0</v>
      </c>
      <c r="P366" s="55">
        <f t="shared" si="115"/>
        <v>0</v>
      </c>
      <c r="Q366" s="56">
        <f t="shared" si="115"/>
        <v>0</v>
      </c>
      <c r="R366" s="33">
        <v>0</v>
      </c>
      <c r="S366" s="33">
        <f>SUM(S367:S367)</f>
        <v>0</v>
      </c>
      <c r="T366" s="127"/>
    </row>
    <row r="367" spans="1:20" outlineLevel="1" x14ac:dyDescent="0.25">
      <c r="A367" s="4" t="s">
        <v>361</v>
      </c>
      <c r="B367" s="75" t="s">
        <v>47</v>
      </c>
      <c r="C367" s="25"/>
      <c r="D367" s="92"/>
      <c r="E367" s="110"/>
      <c r="F367" s="93">
        <f>D367*E367</f>
        <v>0</v>
      </c>
      <c r="G367" s="74">
        <f t="shared" si="98"/>
        <v>0</v>
      </c>
      <c r="H367" s="95">
        <f t="shared" si="106"/>
        <v>0</v>
      </c>
      <c r="I367" s="112"/>
      <c r="J367" s="57"/>
      <c r="K367" s="57"/>
      <c r="L367" s="57"/>
      <c r="M367" s="57"/>
      <c r="N367" s="57"/>
      <c r="O367" s="57"/>
      <c r="P367" s="68"/>
      <c r="Q367" s="58"/>
      <c r="R367" s="76"/>
      <c r="S367" s="76"/>
      <c r="T367" s="128"/>
    </row>
    <row r="368" spans="1:20" s="3" customFormat="1" ht="15.75" x14ac:dyDescent="0.25">
      <c r="A368" s="7" t="s">
        <v>654</v>
      </c>
      <c r="B368" s="13" t="s">
        <v>495</v>
      </c>
      <c r="C368" s="23"/>
      <c r="D368" s="24"/>
      <c r="E368" s="17"/>
      <c r="F368" s="82">
        <f>SUM(F369:F369)</f>
        <v>1735.2</v>
      </c>
      <c r="G368" s="89">
        <f t="shared" si="98"/>
        <v>-0.15000000000009095</v>
      </c>
      <c r="H368" s="18">
        <f t="shared" si="106"/>
        <v>1735.05</v>
      </c>
      <c r="I368" s="54">
        <f t="shared" ref="I368:Q368" si="116">SUM(I369:I369)</f>
        <v>0</v>
      </c>
      <c r="J368" s="55">
        <f t="shared" si="116"/>
        <v>0</v>
      </c>
      <c r="K368" s="55">
        <f t="shared" si="116"/>
        <v>418.05</v>
      </c>
      <c r="L368" s="55">
        <f t="shared" si="116"/>
        <v>1317</v>
      </c>
      <c r="M368" s="55">
        <f t="shared" si="116"/>
        <v>0</v>
      </c>
      <c r="N368" s="55">
        <f t="shared" si="116"/>
        <v>0</v>
      </c>
      <c r="O368" s="55">
        <f t="shared" si="116"/>
        <v>0</v>
      </c>
      <c r="P368" s="55">
        <f t="shared" si="116"/>
        <v>0</v>
      </c>
      <c r="Q368" s="56">
        <f t="shared" si="116"/>
        <v>0</v>
      </c>
      <c r="R368" s="33">
        <v>1904</v>
      </c>
      <c r="S368" s="33">
        <f>1821.8+731.71-650</f>
        <v>1903.5100000000002</v>
      </c>
      <c r="T368" s="127">
        <f>S368*100/R368</f>
        <v>99.974264705882362</v>
      </c>
    </row>
    <row r="369" spans="1:20" outlineLevel="1" x14ac:dyDescent="0.25">
      <c r="A369" s="4" t="s">
        <v>655</v>
      </c>
      <c r="B369" s="75" t="s">
        <v>495</v>
      </c>
      <c r="C369" s="25"/>
      <c r="D369" s="92">
        <v>1</v>
      </c>
      <c r="E369" s="110">
        <f>11568*0.15</f>
        <v>1735.2</v>
      </c>
      <c r="F369" s="93">
        <f>D369*E369</f>
        <v>1735.2</v>
      </c>
      <c r="G369" s="74">
        <f t="shared" si="98"/>
        <v>-0.15000000000009095</v>
      </c>
      <c r="H369" s="95">
        <f t="shared" si="106"/>
        <v>1735.05</v>
      </c>
      <c r="I369" s="112"/>
      <c r="J369" s="57"/>
      <c r="K369" s="57">
        <f>2787*0.15</f>
        <v>418.05</v>
      </c>
      <c r="L369" s="57">
        <f>4390*2*0.15</f>
        <v>1317</v>
      </c>
      <c r="M369" s="57"/>
      <c r="N369" s="57"/>
      <c r="O369" s="57"/>
      <c r="P369" s="57"/>
      <c r="Q369" s="58"/>
      <c r="R369" s="76"/>
      <c r="S369" s="76"/>
      <c r="T369" s="128"/>
    </row>
    <row r="370" spans="1:20" s="2" customFormat="1" ht="21" x14ac:dyDescent="0.35">
      <c r="A370" s="8" t="s">
        <v>342</v>
      </c>
      <c r="B370" s="12" t="s">
        <v>308</v>
      </c>
      <c r="C370" s="21"/>
      <c r="D370" s="22"/>
      <c r="E370" s="15"/>
      <c r="F370" s="84">
        <f>F371+F376+F381+F385+F391</f>
        <v>25500</v>
      </c>
      <c r="G370" s="89">
        <f t="shared" si="98"/>
        <v>0</v>
      </c>
      <c r="H370" s="16">
        <f t="shared" si="106"/>
        <v>25500</v>
      </c>
      <c r="I370" s="51">
        <f t="shared" ref="I370:Q370" si="117">I371+I376+I381+I385+I391</f>
        <v>4000</v>
      </c>
      <c r="J370" s="51">
        <f t="shared" si="117"/>
        <v>1500</v>
      </c>
      <c r="K370" s="51">
        <f t="shared" si="117"/>
        <v>0</v>
      </c>
      <c r="L370" s="51">
        <f t="shared" si="117"/>
        <v>0</v>
      </c>
      <c r="M370" s="51">
        <f t="shared" si="117"/>
        <v>0</v>
      </c>
      <c r="N370" s="51">
        <f t="shared" si="117"/>
        <v>0</v>
      </c>
      <c r="O370" s="51">
        <f t="shared" si="117"/>
        <v>0</v>
      </c>
      <c r="P370" s="51">
        <f t="shared" si="117"/>
        <v>0</v>
      </c>
      <c r="Q370" s="59">
        <f t="shared" si="117"/>
        <v>20000</v>
      </c>
      <c r="R370" s="32">
        <f>+R371+R376+R381+R385+R391</f>
        <v>20475</v>
      </c>
      <c r="S370" s="32">
        <f>S371+S376+S381+S385+S391</f>
        <v>9574.93</v>
      </c>
      <c r="T370" s="126">
        <f>S370*100/R370</f>
        <v>46.764004884004883</v>
      </c>
    </row>
    <row r="371" spans="1:20" s="3" customFormat="1" ht="15.75" x14ac:dyDescent="0.25">
      <c r="A371" s="7" t="s">
        <v>362</v>
      </c>
      <c r="B371" s="13" t="s">
        <v>265</v>
      </c>
      <c r="C371" s="23"/>
      <c r="D371" s="24"/>
      <c r="E371" s="17"/>
      <c r="F371" s="82">
        <f>SUM(F372:F375)</f>
        <v>1000</v>
      </c>
      <c r="G371" s="89">
        <f t="shared" si="98"/>
        <v>0</v>
      </c>
      <c r="H371" s="18">
        <f t="shared" si="106"/>
        <v>1000</v>
      </c>
      <c r="I371" s="54">
        <f t="shared" ref="I371:Q371" si="118">SUM(I372:I375)</f>
        <v>1000</v>
      </c>
      <c r="J371" s="55">
        <f t="shared" si="118"/>
        <v>0</v>
      </c>
      <c r="K371" s="55">
        <f t="shared" si="118"/>
        <v>0</v>
      </c>
      <c r="L371" s="55">
        <f t="shared" si="118"/>
        <v>0</v>
      </c>
      <c r="M371" s="55">
        <f>SUM(M372:M375)</f>
        <v>0</v>
      </c>
      <c r="N371" s="55">
        <f t="shared" si="118"/>
        <v>0</v>
      </c>
      <c r="O371" s="55">
        <f t="shared" si="118"/>
        <v>0</v>
      </c>
      <c r="P371" s="55">
        <f t="shared" si="118"/>
        <v>0</v>
      </c>
      <c r="Q371" s="56">
        <f t="shared" si="118"/>
        <v>0</v>
      </c>
      <c r="R371" s="33">
        <v>475</v>
      </c>
      <c r="S371" s="33">
        <v>562.41999999999996</v>
      </c>
      <c r="T371" s="127">
        <f>S371*100/R371</f>
        <v>118.40421052631578</v>
      </c>
    </row>
    <row r="372" spans="1:20" outlineLevel="1" x14ac:dyDescent="0.25">
      <c r="A372" s="5" t="s">
        <v>363</v>
      </c>
      <c r="B372" s="75" t="s">
        <v>281</v>
      </c>
      <c r="C372" s="25"/>
      <c r="D372" s="92">
        <v>1</v>
      </c>
      <c r="E372" s="110">
        <v>200</v>
      </c>
      <c r="F372" s="93">
        <f>D372*E372</f>
        <v>200</v>
      </c>
      <c r="G372" s="74">
        <f t="shared" si="98"/>
        <v>0</v>
      </c>
      <c r="H372" s="95">
        <f t="shared" si="106"/>
        <v>200</v>
      </c>
      <c r="I372" s="112">
        <v>200</v>
      </c>
      <c r="J372" s="57"/>
      <c r="K372" s="57"/>
      <c r="L372" s="57"/>
      <c r="M372" s="57"/>
      <c r="N372" s="57"/>
      <c r="O372" s="57"/>
      <c r="P372" s="68"/>
      <c r="Q372" s="58"/>
      <c r="R372" s="76"/>
      <c r="S372" s="76"/>
      <c r="T372" s="128"/>
    </row>
    <row r="373" spans="1:20" outlineLevel="1" x14ac:dyDescent="0.25">
      <c r="A373" s="4" t="s">
        <v>364</v>
      </c>
      <c r="B373" s="75" t="s">
        <v>309</v>
      </c>
      <c r="C373" s="25"/>
      <c r="D373" s="92">
        <v>4</v>
      </c>
      <c r="E373" s="110">
        <v>100</v>
      </c>
      <c r="F373" s="93">
        <f>D373*E373</f>
        <v>400</v>
      </c>
      <c r="G373" s="74">
        <f t="shared" si="98"/>
        <v>0</v>
      </c>
      <c r="H373" s="95">
        <f t="shared" si="106"/>
        <v>400</v>
      </c>
      <c r="I373" s="112">
        <v>400</v>
      </c>
      <c r="J373" s="57"/>
      <c r="K373" s="57"/>
      <c r="L373" s="57"/>
      <c r="M373" s="57"/>
      <c r="N373" s="57"/>
      <c r="O373" s="57"/>
      <c r="P373" s="68"/>
      <c r="Q373" s="58"/>
      <c r="R373" s="76"/>
      <c r="S373" s="76"/>
      <c r="T373" s="128"/>
    </row>
    <row r="374" spans="1:20" outlineLevel="1" x14ac:dyDescent="0.25">
      <c r="A374" s="4" t="s">
        <v>365</v>
      </c>
      <c r="B374" s="75" t="s">
        <v>285</v>
      </c>
      <c r="C374" s="25"/>
      <c r="D374" s="92">
        <v>4</v>
      </c>
      <c r="E374" s="110">
        <v>100</v>
      </c>
      <c r="F374" s="93">
        <f>D374*E374</f>
        <v>400</v>
      </c>
      <c r="G374" s="74">
        <f t="shared" ref="G374:G431" si="119">H374-F374</f>
        <v>0</v>
      </c>
      <c r="H374" s="95">
        <f t="shared" si="106"/>
        <v>400</v>
      </c>
      <c r="I374" s="112">
        <v>400</v>
      </c>
      <c r="J374" s="57"/>
      <c r="K374" s="57"/>
      <c r="L374" s="57"/>
      <c r="M374" s="57"/>
      <c r="N374" s="57"/>
      <c r="O374" s="57"/>
      <c r="P374" s="68"/>
      <c r="Q374" s="58"/>
      <c r="R374" s="76"/>
      <c r="S374" s="76"/>
      <c r="T374" s="128"/>
    </row>
    <row r="375" spans="1:20" outlineLevel="1" x14ac:dyDescent="0.25">
      <c r="A375" s="4" t="s">
        <v>366</v>
      </c>
      <c r="B375" s="75" t="s">
        <v>47</v>
      </c>
      <c r="C375" s="25"/>
      <c r="D375" s="92"/>
      <c r="E375" s="110"/>
      <c r="F375" s="93">
        <f>D375*E375</f>
        <v>0</v>
      </c>
      <c r="G375" s="74">
        <f t="shared" si="119"/>
        <v>0</v>
      </c>
      <c r="H375" s="95">
        <f t="shared" si="106"/>
        <v>0</v>
      </c>
      <c r="I375" s="112">
        <f>F375</f>
        <v>0</v>
      </c>
      <c r="J375" s="57"/>
      <c r="K375" s="57"/>
      <c r="L375" s="57"/>
      <c r="M375" s="57"/>
      <c r="N375" s="57"/>
      <c r="O375" s="57"/>
      <c r="P375" s="68"/>
      <c r="Q375" s="58"/>
      <c r="R375" s="76"/>
      <c r="S375" s="76"/>
      <c r="T375" s="128"/>
    </row>
    <row r="376" spans="1:20" s="3" customFormat="1" ht="15.75" x14ac:dyDescent="0.25">
      <c r="A376" s="7" t="s">
        <v>367</v>
      </c>
      <c r="B376" s="13" t="s">
        <v>248</v>
      </c>
      <c r="C376" s="23"/>
      <c r="D376" s="24"/>
      <c r="E376" s="17"/>
      <c r="F376" s="82">
        <f>SUM(F377:F380)</f>
        <v>5000</v>
      </c>
      <c r="G376" s="89">
        <f t="shared" si="119"/>
        <v>0</v>
      </c>
      <c r="H376" s="18">
        <f t="shared" si="106"/>
        <v>5000</v>
      </c>
      <c r="I376" s="54">
        <f t="shared" ref="I376:Q376" si="120">SUM(I377:I380)</f>
        <v>0</v>
      </c>
      <c r="J376" s="55">
        <f t="shared" si="120"/>
        <v>1500</v>
      </c>
      <c r="K376" s="55">
        <f t="shared" si="120"/>
        <v>0</v>
      </c>
      <c r="L376" s="55">
        <f t="shared" si="120"/>
        <v>0</v>
      </c>
      <c r="M376" s="55">
        <f t="shared" si="120"/>
        <v>0</v>
      </c>
      <c r="N376" s="55">
        <f t="shared" si="120"/>
        <v>0</v>
      </c>
      <c r="O376" s="55">
        <f t="shared" si="120"/>
        <v>0</v>
      </c>
      <c r="P376" s="55">
        <f t="shared" si="120"/>
        <v>0</v>
      </c>
      <c r="Q376" s="56">
        <f t="shared" si="120"/>
        <v>3500</v>
      </c>
      <c r="R376" s="33">
        <v>2500</v>
      </c>
      <c r="S376" s="33">
        <f>SUM(S377:S380)</f>
        <v>0</v>
      </c>
      <c r="T376" s="127">
        <f>S376*100/R376</f>
        <v>0</v>
      </c>
    </row>
    <row r="377" spans="1:20" outlineLevel="1" x14ac:dyDescent="0.25">
      <c r="A377" s="4" t="s">
        <v>368</v>
      </c>
      <c r="B377" s="75" t="s">
        <v>311</v>
      </c>
      <c r="C377" s="25"/>
      <c r="D377" s="92">
        <v>1</v>
      </c>
      <c r="E377" s="110">
        <v>2500</v>
      </c>
      <c r="F377" s="93">
        <f>D377*E377</f>
        <v>2500</v>
      </c>
      <c r="G377" s="74">
        <f t="shared" si="119"/>
        <v>0</v>
      </c>
      <c r="H377" s="95">
        <f t="shared" si="106"/>
        <v>2500</v>
      </c>
      <c r="I377" s="112"/>
      <c r="J377" s="57">
        <v>1500</v>
      </c>
      <c r="K377" s="57"/>
      <c r="L377" s="57"/>
      <c r="M377" s="57"/>
      <c r="N377" s="57"/>
      <c r="O377" s="57"/>
      <c r="P377" s="68"/>
      <c r="Q377" s="58">
        <v>1000</v>
      </c>
      <c r="R377" s="76"/>
      <c r="S377" s="76"/>
      <c r="T377" s="128"/>
    </row>
    <row r="378" spans="1:20" outlineLevel="1" x14ac:dyDescent="0.25">
      <c r="A378" s="4" t="s">
        <v>369</v>
      </c>
      <c r="B378" s="75" t="s">
        <v>890</v>
      </c>
      <c r="C378" s="25"/>
      <c r="D378" s="92">
        <v>1</v>
      </c>
      <c r="E378" s="110">
        <v>1500</v>
      </c>
      <c r="F378" s="93">
        <f>D378*E378</f>
        <v>1500</v>
      </c>
      <c r="G378" s="74">
        <f t="shared" si="119"/>
        <v>0</v>
      </c>
      <c r="H378" s="95">
        <f t="shared" si="106"/>
        <v>1500</v>
      </c>
      <c r="I378" s="112"/>
      <c r="J378" s="57"/>
      <c r="K378" s="57"/>
      <c r="L378" s="57"/>
      <c r="M378" s="57"/>
      <c r="N378" s="57"/>
      <c r="O378" s="57"/>
      <c r="P378" s="68"/>
      <c r="Q378" s="58">
        <v>1500</v>
      </c>
      <c r="R378" s="76"/>
      <c r="S378" s="76"/>
      <c r="T378" s="128"/>
    </row>
    <row r="379" spans="1:20" outlineLevel="1" x14ac:dyDescent="0.25">
      <c r="A379" s="4" t="s">
        <v>370</v>
      </c>
      <c r="B379" s="75" t="s">
        <v>536</v>
      </c>
      <c r="C379" s="25"/>
      <c r="D379" s="92">
        <v>1</v>
      </c>
      <c r="E379" s="110">
        <v>1000</v>
      </c>
      <c r="F379" s="93">
        <f>D379*E379</f>
        <v>1000</v>
      </c>
      <c r="G379" s="74">
        <f>H379-F379</f>
        <v>0</v>
      </c>
      <c r="H379" s="95">
        <f>SUM(I379:Q379)</f>
        <v>1000</v>
      </c>
      <c r="I379" s="112"/>
      <c r="J379" s="57"/>
      <c r="K379" s="57"/>
      <c r="L379" s="57"/>
      <c r="M379" s="57"/>
      <c r="N379" s="57"/>
      <c r="O379" s="57"/>
      <c r="P379" s="68"/>
      <c r="Q379" s="58">
        <v>1000</v>
      </c>
      <c r="R379" s="76"/>
      <c r="S379" s="76"/>
      <c r="T379" s="128"/>
    </row>
    <row r="380" spans="1:20" outlineLevel="1" x14ac:dyDescent="0.25">
      <c r="A380" s="4" t="s">
        <v>859</v>
      </c>
      <c r="B380" s="75" t="s">
        <v>47</v>
      </c>
      <c r="C380" s="25"/>
      <c r="D380" s="92"/>
      <c r="E380" s="110"/>
      <c r="F380" s="93">
        <f>D380*E380</f>
        <v>0</v>
      </c>
      <c r="G380" s="74">
        <f t="shared" si="119"/>
        <v>0</v>
      </c>
      <c r="H380" s="95">
        <f t="shared" si="106"/>
        <v>0</v>
      </c>
      <c r="I380" s="112"/>
      <c r="J380" s="57"/>
      <c r="K380" s="57"/>
      <c r="L380" s="57"/>
      <c r="M380" s="57"/>
      <c r="N380" s="57"/>
      <c r="O380" s="57"/>
      <c r="P380" s="68"/>
      <c r="Q380" s="58"/>
      <c r="R380" s="76"/>
      <c r="S380" s="76"/>
      <c r="T380" s="128"/>
    </row>
    <row r="381" spans="1:20" s="3" customFormat="1" ht="15.75" x14ac:dyDescent="0.25">
      <c r="A381" s="7" t="s">
        <v>371</v>
      </c>
      <c r="B381" s="13" t="s">
        <v>888</v>
      </c>
      <c r="C381" s="23"/>
      <c r="D381" s="24"/>
      <c r="E381" s="17"/>
      <c r="F381" s="82">
        <f>SUM(F382:F384)</f>
        <v>8000</v>
      </c>
      <c r="G381" s="89">
        <f t="shared" si="119"/>
        <v>0</v>
      </c>
      <c r="H381" s="18">
        <f t="shared" si="106"/>
        <v>8000</v>
      </c>
      <c r="I381" s="54">
        <f t="shared" ref="I381:Q381" si="121">SUM(I382:I384)</f>
        <v>0</v>
      </c>
      <c r="J381" s="55">
        <f t="shared" si="121"/>
        <v>0</v>
      </c>
      <c r="K381" s="55">
        <f t="shared" si="121"/>
        <v>0</v>
      </c>
      <c r="L381" s="55">
        <f t="shared" si="121"/>
        <v>0</v>
      </c>
      <c r="M381" s="55">
        <f t="shared" si="121"/>
        <v>0</v>
      </c>
      <c r="N381" s="55">
        <f t="shared" si="121"/>
        <v>0</v>
      </c>
      <c r="O381" s="55">
        <f t="shared" si="121"/>
        <v>0</v>
      </c>
      <c r="P381" s="55">
        <f t="shared" si="121"/>
        <v>0</v>
      </c>
      <c r="Q381" s="56">
        <f t="shared" si="121"/>
        <v>8000</v>
      </c>
      <c r="R381" s="33">
        <v>9500</v>
      </c>
      <c r="S381" s="33">
        <f>8817.57+29.2</f>
        <v>8846.77</v>
      </c>
      <c r="T381" s="127">
        <f>S381*100/R381</f>
        <v>93.123894736842104</v>
      </c>
    </row>
    <row r="382" spans="1:20" outlineLevel="1" x14ac:dyDescent="0.25">
      <c r="A382" s="4" t="s">
        <v>372</v>
      </c>
      <c r="B382" s="75" t="s">
        <v>148</v>
      </c>
      <c r="C382" s="25"/>
      <c r="D382" s="92">
        <v>1</v>
      </c>
      <c r="E382" s="110">
        <v>3000</v>
      </c>
      <c r="F382" s="93">
        <f>D382*E382</f>
        <v>3000</v>
      </c>
      <c r="G382" s="74">
        <f t="shared" si="119"/>
        <v>0</v>
      </c>
      <c r="H382" s="95">
        <f t="shared" si="106"/>
        <v>3000</v>
      </c>
      <c r="I382" s="112"/>
      <c r="J382" s="57"/>
      <c r="K382" s="57"/>
      <c r="L382" s="57"/>
      <c r="M382" s="57"/>
      <c r="N382" s="57"/>
      <c r="O382" s="57"/>
      <c r="P382" s="68"/>
      <c r="Q382" s="58">
        <v>3000</v>
      </c>
      <c r="R382" s="76"/>
      <c r="S382" s="76"/>
      <c r="T382" s="128"/>
    </row>
    <row r="383" spans="1:20" outlineLevel="1" x14ac:dyDescent="0.25">
      <c r="A383" s="6" t="s">
        <v>373</v>
      </c>
      <c r="B383" s="75" t="s">
        <v>149</v>
      </c>
      <c r="C383" s="25"/>
      <c r="D383" s="92">
        <v>1</v>
      </c>
      <c r="E383" s="110">
        <v>2500</v>
      </c>
      <c r="F383" s="93">
        <f>D383*E383</f>
        <v>2500</v>
      </c>
      <c r="G383" s="74">
        <f t="shared" si="119"/>
        <v>0</v>
      </c>
      <c r="H383" s="95">
        <f t="shared" si="106"/>
        <v>2500</v>
      </c>
      <c r="I383" s="112"/>
      <c r="J383" s="57"/>
      <c r="K383" s="57"/>
      <c r="L383" s="57"/>
      <c r="M383" s="57"/>
      <c r="N383" s="57"/>
      <c r="O383" s="57"/>
      <c r="P383" s="68"/>
      <c r="Q383" s="58">
        <v>2500</v>
      </c>
      <c r="R383" s="76"/>
      <c r="S383" s="76"/>
      <c r="T383" s="128"/>
    </row>
    <row r="384" spans="1:20" outlineLevel="1" x14ac:dyDescent="0.25">
      <c r="A384" s="4" t="s">
        <v>858</v>
      </c>
      <c r="B384" s="75" t="s">
        <v>889</v>
      </c>
      <c r="C384" s="25"/>
      <c r="D384" s="92">
        <v>1</v>
      </c>
      <c r="E384" s="110">
        <v>2500</v>
      </c>
      <c r="F384" s="93">
        <f>D384*E384</f>
        <v>2500</v>
      </c>
      <c r="G384" s="74">
        <f t="shared" si="119"/>
        <v>0</v>
      </c>
      <c r="H384" s="95">
        <f t="shared" si="106"/>
        <v>2500</v>
      </c>
      <c r="I384" s="112"/>
      <c r="J384" s="57"/>
      <c r="K384" s="57"/>
      <c r="L384" s="57"/>
      <c r="M384" s="57"/>
      <c r="N384" s="57"/>
      <c r="O384" s="57"/>
      <c r="P384" s="68"/>
      <c r="Q384" s="58">
        <v>2500</v>
      </c>
      <c r="R384" s="76"/>
      <c r="S384" s="76"/>
      <c r="T384" s="128"/>
    </row>
    <row r="385" spans="1:21" s="3" customFormat="1" ht="15.75" x14ac:dyDescent="0.25">
      <c r="A385" s="7" t="s">
        <v>374</v>
      </c>
      <c r="B385" s="13" t="s">
        <v>250</v>
      </c>
      <c r="C385" s="23"/>
      <c r="D385" s="24"/>
      <c r="E385" s="17"/>
      <c r="F385" s="82">
        <f>SUM(F386:F390)</f>
        <v>8500</v>
      </c>
      <c r="G385" s="89">
        <f t="shared" si="119"/>
        <v>0</v>
      </c>
      <c r="H385" s="18">
        <f t="shared" si="106"/>
        <v>8500</v>
      </c>
      <c r="I385" s="54">
        <f t="shared" ref="I385:Q385" si="122">SUM(I386:I390)</f>
        <v>3000</v>
      </c>
      <c r="J385" s="55">
        <f t="shared" si="122"/>
        <v>0</v>
      </c>
      <c r="K385" s="55">
        <f t="shared" si="122"/>
        <v>0</v>
      </c>
      <c r="L385" s="55">
        <f t="shared" si="122"/>
        <v>0</v>
      </c>
      <c r="M385" s="55">
        <f t="shared" si="122"/>
        <v>0</v>
      </c>
      <c r="N385" s="55">
        <f t="shared" si="122"/>
        <v>0</v>
      </c>
      <c r="O385" s="55">
        <f t="shared" si="122"/>
        <v>0</v>
      </c>
      <c r="P385" s="55">
        <f t="shared" si="122"/>
        <v>0</v>
      </c>
      <c r="Q385" s="56">
        <f t="shared" si="122"/>
        <v>5500</v>
      </c>
      <c r="R385" s="33">
        <v>8000</v>
      </c>
      <c r="S385" s="33">
        <v>165.74</v>
      </c>
      <c r="T385" s="127">
        <f>S385*100/R385</f>
        <v>2.0717500000000002</v>
      </c>
    </row>
    <row r="386" spans="1:21" outlineLevel="1" x14ac:dyDescent="0.25">
      <c r="A386" s="4" t="s">
        <v>375</v>
      </c>
      <c r="B386" s="75" t="s">
        <v>855</v>
      </c>
      <c r="C386" s="25"/>
      <c r="D386" s="92">
        <v>1</v>
      </c>
      <c r="E386" s="110">
        <v>2000</v>
      </c>
      <c r="F386" s="93">
        <v>2500</v>
      </c>
      <c r="G386" s="74">
        <f t="shared" si="119"/>
        <v>0</v>
      </c>
      <c r="H386" s="95">
        <f t="shared" si="106"/>
        <v>2500</v>
      </c>
      <c r="I386" s="112"/>
      <c r="J386" s="57"/>
      <c r="K386" s="57"/>
      <c r="L386" s="57"/>
      <c r="M386" s="57"/>
      <c r="N386" s="57"/>
      <c r="O386" s="57"/>
      <c r="P386" s="68"/>
      <c r="Q386" s="58">
        <v>2500</v>
      </c>
      <c r="R386" s="76"/>
      <c r="S386" s="76"/>
      <c r="T386" s="128"/>
    </row>
    <row r="387" spans="1:21" outlineLevel="1" x14ac:dyDescent="0.25">
      <c r="A387" s="4" t="s">
        <v>376</v>
      </c>
      <c r="B387" s="75" t="s">
        <v>990</v>
      </c>
      <c r="C387" s="25"/>
      <c r="D387" s="92">
        <v>1</v>
      </c>
      <c r="E387" s="110">
        <v>3000</v>
      </c>
      <c r="F387" s="93">
        <f>D387*E387</f>
        <v>3000</v>
      </c>
      <c r="G387" s="74">
        <f t="shared" si="119"/>
        <v>0</v>
      </c>
      <c r="H387" s="95">
        <f t="shared" ref="H387:H443" si="123">SUM(I387:Q387)</f>
        <v>3000</v>
      </c>
      <c r="I387" s="112">
        <v>3000</v>
      </c>
      <c r="J387" s="57"/>
      <c r="K387" s="57"/>
      <c r="L387" s="57"/>
      <c r="M387" s="57"/>
      <c r="N387" s="57"/>
      <c r="O387" s="57"/>
      <c r="P387" s="68"/>
      <c r="Q387" s="58"/>
      <c r="R387" s="76"/>
      <c r="S387" s="76"/>
      <c r="T387" s="128"/>
    </row>
    <row r="388" spans="1:21" outlineLevel="1" x14ac:dyDescent="0.25">
      <c r="A388" s="4" t="s">
        <v>377</v>
      </c>
      <c r="B388" s="75" t="s">
        <v>892</v>
      </c>
      <c r="C388" s="25"/>
      <c r="D388" s="92">
        <v>1</v>
      </c>
      <c r="E388" s="110">
        <v>1500</v>
      </c>
      <c r="F388" s="93">
        <f>D388*E388</f>
        <v>1500</v>
      </c>
      <c r="G388" s="74">
        <f t="shared" si="119"/>
        <v>0</v>
      </c>
      <c r="H388" s="95">
        <f t="shared" si="123"/>
        <v>1500</v>
      </c>
      <c r="I388" s="112"/>
      <c r="J388" s="57"/>
      <c r="K388" s="57"/>
      <c r="L388" s="57"/>
      <c r="M388" s="57"/>
      <c r="N388" s="57"/>
      <c r="O388" s="57"/>
      <c r="P388" s="68"/>
      <c r="Q388" s="58">
        <v>1500</v>
      </c>
      <c r="R388" s="76"/>
      <c r="S388" s="76"/>
      <c r="T388" s="128"/>
    </row>
    <row r="389" spans="1:21" outlineLevel="1" x14ac:dyDescent="0.25">
      <c r="A389" s="4" t="s">
        <v>378</v>
      </c>
      <c r="B389" s="75" t="s">
        <v>981</v>
      </c>
      <c r="C389" s="25"/>
      <c r="D389" s="92">
        <v>1</v>
      </c>
      <c r="E389" s="110">
        <v>1500</v>
      </c>
      <c r="F389" s="93">
        <f>D389*E389</f>
        <v>1500</v>
      </c>
      <c r="G389" s="74">
        <f t="shared" si="119"/>
        <v>0</v>
      </c>
      <c r="H389" s="95">
        <f t="shared" si="123"/>
        <v>1500</v>
      </c>
      <c r="I389" s="112"/>
      <c r="J389" s="57"/>
      <c r="K389" s="57"/>
      <c r="L389" s="57"/>
      <c r="M389" s="57"/>
      <c r="N389" s="57"/>
      <c r="O389" s="57"/>
      <c r="P389" s="68"/>
      <c r="Q389" s="58">
        <v>1500</v>
      </c>
      <c r="R389" s="76"/>
      <c r="S389" s="76"/>
      <c r="T389" s="128"/>
    </row>
    <row r="390" spans="1:21" outlineLevel="1" x14ac:dyDescent="0.25">
      <c r="A390" s="4" t="s">
        <v>860</v>
      </c>
      <c r="B390" s="75" t="s">
        <v>47</v>
      </c>
      <c r="C390" s="25"/>
      <c r="D390" s="92"/>
      <c r="E390" s="110"/>
      <c r="F390" s="93">
        <f>D390*E390</f>
        <v>0</v>
      </c>
      <c r="G390" s="74">
        <f t="shared" si="119"/>
        <v>0</v>
      </c>
      <c r="H390" s="95">
        <f t="shared" si="123"/>
        <v>0</v>
      </c>
      <c r="I390" s="112"/>
      <c r="J390" s="57"/>
      <c r="K390" s="57"/>
      <c r="L390" s="57"/>
      <c r="M390" s="57"/>
      <c r="N390" s="57"/>
      <c r="O390" s="57"/>
      <c r="P390" s="68"/>
      <c r="Q390" s="58"/>
      <c r="R390" s="76"/>
      <c r="S390" s="76"/>
      <c r="T390" s="128"/>
    </row>
    <row r="391" spans="1:21" s="3" customFormat="1" ht="15.75" x14ac:dyDescent="0.25">
      <c r="A391" s="7" t="s">
        <v>379</v>
      </c>
      <c r="B391" s="13" t="s">
        <v>495</v>
      </c>
      <c r="C391" s="23"/>
      <c r="D391" s="24"/>
      <c r="E391" s="17"/>
      <c r="F391" s="82">
        <f>SUM(F392:F392)</f>
        <v>3000</v>
      </c>
      <c r="G391" s="89">
        <f t="shared" si="119"/>
        <v>0</v>
      </c>
      <c r="H391" s="18">
        <f t="shared" si="123"/>
        <v>3000</v>
      </c>
      <c r="I391" s="54">
        <f>SUM(I392:I392)</f>
        <v>0</v>
      </c>
      <c r="J391" s="55">
        <f>SUM(J392:J392)</f>
        <v>0</v>
      </c>
      <c r="K391" s="55">
        <f>SUM(K392:K392)</f>
        <v>0</v>
      </c>
      <c r="L391" s="55">
        <f>SUM(L392:L392)</f>
        <v>0</v>
      </c>
      <c r="M391" s="55"/>
      <c r="N391" s="55">
        <f>SUM(N392:N392)</f>
        <v>0</v>
      </c>
      <c r="O391" s="55">
        <f>SUM(O392:O392)</f>
        <v>0</v>
      </c>
      <c r="P391" s="55">
        <f>SUM(P392:P392)</f>
        <v>0</v>
      </c>
      <c r="Q391" s="56">
        <f>SUM(Q392:Q392)</f>
        <v>3000</v>
      </c>
      <c r="R391" s="33">
        <v>0</v>
      </c>
      <c r="S391" s="33">
        <f>SUM(S392:S392)</f>
        <v>0</v>
      </c>
      <c r="T391" s="127"/>
    </row>
    <row r="392" spans="1:21" outlineLevel="1" x14ac:dyDescent="0.25">
      <c r="A392" s="4" t="s">
        <v>380</v>
      </c>
      <c r="B392" s="75" t="s">
        <v>495</v>
      </c>
      <c r="C392" s="25"/>
      <c r="D392" s="92">
        <v>1</v>
      </c>
      <c r="E392" s="110">
        <v>3000</v>
      </c>
      <c r="F392" s="93">
        <f>D392*E392</f>
        <v>3000</v>
      </c>
      <c r="G392" s="74">
        <f t="shared" si="119"/>
        <v>0</v>
      </c>
      <c r="H392" s="95">
        <f t="shared" si="123"/>
        <v>3000</v>
      </c>
      <c r="I392" s="112"/>
      <c r="J392" s="57"/>
      <c r="K392" s="57"/>
      <c r="L392" s="57"/>
      <c r="M392" s="57"/>
      <c r="N392" s="57"/>
      <c r="O392" s="57"/>
      <c r="P392" s="68"/>
      <c r="Q392" s="58">
        <v>3000</v>
      </c>
      <c r="R392" s="76"/>
      <c r="S392" s="76"/>
      <c r="T392" s="128"/>
    </row>
    <row r="393" spans="1:21" s="2" customFormat="1" ht="21" x14ac:dyDescent="0.35">
      <c r="A393" s="8" t="s">
        <v>393</v>
      </c>
      <c r="B393" s="12" t="s">
        <v>343</v>
      </c>
      <c r="C393" s="21"/>
      <c r="D393" s="22"/>
      <c r="E393" s="15"/>
      <c r="F393" s="84">
        <f>F394+F407+F399+F411+F419+F424</f>
        <v>62930</v>
      </c>
      <c r="G393" s="89">
        <f t="shared" si="119"/>
        <v>0</v>
      </c>
      <c r="H393" s="16">
        <f t="shared" si="123"/>
        <v>62930</v>
      </c>
      <c r="I393" s="51">
        <f t="shared" ref="I393:Q393" si="124">I394+I407+I399+I411+I419+I424</f>
        <v>3520</v>
      </c>
      <c r="J393" s="51">
        <f t="shared" si="124"/>
        <v>8950</v>
      </c>
      <c r="K393" s="51">
        <f t="shared" si="124"/>
        <v>20425</v>
      </c>
      <c r="L393" s="51">
        <f t="shared" si="124"/>
        <v>0</v>
      </c>
      <c r="M393" s="51">
        <f t="shared" si="124"/>
        <v>20075</v>
      </c>
      <c r="N393" s="51">
        <f t="shared" si="124"/>
        <v>0</v>
      </c>
      <c r="O393" s="51">
        <f t="shared" si="124"/>
        <v>0</v>
      </c>
      <c r="P393" s="51">
        <f t="shared" si="124"/>
        <v>0</v>
      </c>
      <c r="Q393" s="59">
        <f t="shared" si="124"/>
        <v>9960</v>
      </c>
      <c r="R393" s="32">
        <f>+R394+R399+R407+R411+R419+R424</f>
        <v>89125</v>
      </c>
      <c r="S393" s="122">
        <f>S394+S407+S399+S411+S419+S424</f>
        <v>60125.89</v>
      </c>
      <c r="T393" s="126">
        <f>S393*100/R393</f>
        <v>67.462429172510525</v>
      </c>
      <c r="U393" s="121"/>
    </row>
    <row r="394" spans="1:21" s="3" customFormat="1" ht="15.75" x14ac:dyDescent="0.25">
      <c r="A394" s="7" t="s">
        <v>394</v>
      </c>
      <c r="B394" s="13" t="s">
        <v>265</v>
      </c>
      <c r="C394" s="23"/>
      <c r="D394" s="24"/>
      <c r="E394" s="17"/>
      <c r="F394" s="82">
        <f>SUM(F395:F398)</f>
        <v>1500</v>
      </c>
      <c r="G394" s="89">
        <f t="shared" si="119"/>
        <v>0</v>
      </c>
      <c r="H394" s="18">
        <f t="shared" si="123"/>
        <v>1500</v>
      </c>
      <c r="I394" s="54">
        <f t="shared" ref="I394:Q394" si="125">SUM(I395:I398)</f>
        <v>1000</v>
      </c>
      <c r="J394" s="55">
        <f t="shared" si="125"/>
        <v>0</v>
      </c>
      <c r="K394" s="55">
        <f t="shared" si="125"/>
        <v>0</v>
      </c>
      <c r="L394" s="55">
        <f t="shared" si="125"/>
        <v>0</v>
      </c>
      <c r="M394" s="55">
        <f>SUM(M395:M398)</f>
        <v>500</v>
      </c>
      <c r="N394" s="55">
        <f t="shared" si="125"/>
        <v>0</v>
      </c>
      <c r="O394" s="55">
        <f t="shared" si="125"/>
        <v>0</v>
      </c>
      <c r="P394" s="55">
        <f t="shared" si="125"/>
        <v>0</v>
      </c>
      <c r="Q394" s="56">
        <f t="shared" si="125"/>
        <v>0</v>
      </c>
      <c r="R394" s="33">
        <v>3000</v>
      </c>
      <c r="S394" s="33">
        <v>2050.5100000000002</v>
      </c>
      <c r="T394" s="127">
        <f>S394*100/R394</f>
        <v>68.350333333333339</v>
      </c>
    </row>
    <row r="395" spans="1:21" outlineLevel="1" x14ac:dyDescent="0.25">
      <c r="A395" s="5" t="s">
        <v>395</v>
      </c>
      <c r="B395" s="75" t="s">
        <v>281</v>
      </c>
      <c r="C395" s="25"/>
      <c r="D395" s="92">
        <v>1</v>
      </c>
      <c r="E395" s="110">
        <v>200</v>
      </c>
      <c r="F395" s="93">
        <f>D395*E395</f>
        <v>200</v>
      </c>
      <c r="G395" s="74">
        <f t="shared" si="119"/>
        <v>0</v>
      </c>
      <c r="H395" s="95">
        <f t="shared" si="123"/>
        <v>200</v>
      </c>
      <c r="I395" s="112">
        <v>200</v>
      </c>
      <c r="J395" s="57"/>
      <c r="K395" s="57"/>
      <c r="L395" s="57"/>
      <c r="M395" s="57"/>
      <c r="N395" s="57"/>
      <c r="O395" s="57"/>
      <c r="P395" s="68"/>
      <c r="Q395" s="58"/>
      <c r="R395" s="76"/>
      <c r="S395" s="76"/>
      <c r="T395" s="128"/>
    </row>
    <row r="396" spans="1:21" outlineLevel="1" x14ac:dyDescent="0.25">
      <c r="A396" s="4" t="s">
        <v>396</v>
      </c>
      <c r="B396" s="75" t="s">
        <v>309</v>
      </c>
      <c r="C396" s="25"/>
      <c r="D396" s="92">
        <v>4</v>
      </c>
      <c r="E396" s="110">
        <v>100</v>
      </c>
      <c r="F396" s="93">
        <f>D396*E396</f>
        <v>400</v>
      </c>
      <c r="G396" s="74">
        <f t="shared" si="119"/>
        <v>0</v>
      </c>
      <c r="H396" s="95">
        <f t="shared" si="123"/>
        <v>400</v>
      </c>
      <c r="I396" s="112">
        <v>400</v>
      </c>
      <c r="J396" s="57"/>
      <c r="K396" s="57"/>
      <c r="L396" s="57"/>
      <c r="M396" s="57"/>
      <c r="N396" s="57"/>
      <c r="O396" s="57"/>
      <c r="P396" s="68"/>
      <c r="Q396" s="58"/>
      <c r="R396" s="76"/>
      <c r="S396" s="76"/>
      <c r="T396" s="128"/>
    </row>
    <row r="397" spans="1:21" outlineLevel="1" x14ac:dyDescent="0.25">
      <c r="A397" s="4" t="s">
        <v>397</v>
      </c>
      <c r="B397" s="75" t="s">
        <v>285</v>
      </c>
      <c r="C397" s="25"/>
      <c r="D397" s="92">
        <v>4</v>
      </c>
      <c r="E397" s="110">
        <v>100</v>
      </c>
      <c r="F397" s="93">
        <f>D397*E397</f>
        <v>400</v>
      </c>
      <c r="G397" s="74">
        <f t="shared" si="119"/>
        <v>0</v>
      </c>
      <c r="H397" s="95">
        <f t="shared" si="123"/>
        <v>400</v>
      </c>
      <c r="I397" s="112">
        <v>400</v>
      </c>
      <c r="J397" s="57"/>
      <c r="K397" s="57"/>
      <c r="L397" s="57"/>
      <c r="M397" s="57"/>
      <c r="N397" s="57"/>
      <c r="O397" s="57"/>
      <c r="P397" s="68"/>
      <c r="Q397" s="58"/>
      <c r="R397" s="76"/>
      <c r="S397" s="76"/>
      <c r="T397" s="128"/>
    </row>
    <row r="398" spans="1:21" outlineLevel="1" x14ac:dyDescent="0.25">
      <c r="A398" s="4" t="s">
        <v>398</v>
      </c>
      <c r="B398" s="75" t="s">
        <v>47</v>
      </c>
      <c r="C398" s="25"/>
      <c r="D398" s="92">
        <v>1</v>
      </c>
      <c r="E398" s="110">
        <v>500</v>
      </c>
      <c r="F398" s="93">
        <f>D398*E398</f>
        <v>500</v>
      </c>
      <c r="G398" s="74">
        <f t="shared" si="119"/>
        <v>0</v>
      </c>
      <c r="H398" s="95">
        <f t="shared" si="123"/>
        <v>500</v>
      </c>
      <c r="I398" s="112"/>
      <c r="J398" s="57"/>
      <c r="K398" s="57"/>
      <c r="L398" s="57"/>
      <c r="M398" s="57">
        <v>500</v>
      </c>
      <c r="N398" s="57"/>
      <c r="O398" s="57"/>
      <c r="P398" s="68"/>
      <c r="Q398" s="58"/>
      <c r="R398" s="76"/>
      <c r="S398" s="76"/>
      <c r="T398" s="128"/>
    </row>
    <row r="399" spans="1:21" s="3" customFormat="1" ht="15.75" x14ac:dyDescent="0.25">
      <c r="A399" s="7" t="s">
        <v>399</v>
      </c>
      <c r="B399" s="13" t="s">
        <v>248</v>
      </c>
      <c r="C399" s="23"/>
      <c r="D399" s="24"/>
      <c r="E399" s="17"/>
      <c r="F399" s="82">
        <f>SUM(F400:F406)</f>
        <v>9950</v>
      </c>
      <c r="G399" s="89">
        <f t="shared" si="119"/>
        <v>0</v>
      </c>
      <c r="H399" s="18">
        <f t="shared" si="123"/>
        <v>9950</v>
      </c>
      <c r="I399" s="54">
        <f t="shared" ref="I399:Q399" si="126">SUM(I400:I406)</f>
        <v>0</v>
      </c>
      <c r="J399" s="55">
        <f t="shared" si="126"/>
        <v>8950</v>
      </c>
      <c r="K399" s="55">
        <f t="shared" si="126"/>
        <v>0</v>
      </c>
      <c r="L399" s="55">
        <f t="shared" si="126"/>
        <v>0</v>
      </c>
      <c r="M399" s="55">
        <f t="shared" si="126"/>
        <v>1000</v>
      </c>
      <c r="N399" s="55">
        <f t="shared" si="126"/>
        <v>0</v>
      </c>
      <c r="O399" s="55">
        <f t="shared" si="126"/>
        <v>0</v>
      </c>
      <c r="P399" s="55">
        <f t="shared" si="126"/>
        <v>0</v>
      </c>
      <c r="Q399" s="56">
        <f t="shared" si="126"/>
        <v>0</v>
      </c>
      <c r="R399" s="33">
        <v>8500</v>
      </c>
      <c r="S399" s="33">
        <f>33.63+1013.05+946.28+522.6+3320.82</f>
        <v>5836.38</v>
      </c>
      <c r="T399" s="127">
        <f>S399*100/R399</f>
        <v>68.663294117647055</v>
      </c>
    </row>
    <row r="400" spans="1:21" outlineLevel="1" x14ac:dyDescent="0.25">
      <c r="A400" s="4" t="s">
        <v>400</v>
      </c>
      <c r="B400" s="75" t="s">
        <v>382</v>
      </c>
      <c r="C400" s="25"/>
      <c r="D400" s="92">
        <v>1</v>
      </c>
      <c r="E400" s="110">
        <v>5000</v>
      </c>
      <c r="F400" s="93">
        <f t="shared" ref="F400:F406" si="127">D400*E400</f>
        <v>5000</v>
      </c>
      <c r="G400" s="74">
        <f t="shared" si="119"/>
        <v>0</v>
      </c>
      <c r="H400" s="95">
        <f t="shared" si="123"/>
        <v>5000</v>
      </c>
      <c r="I400" s="112"/>
      <c r="J400" s="57">
        <v>5000</v>
      </c>
      <c r="K400" s="57"/>
      <c r="L400" s="57"/>
      <c r="M400" s="57"/>
      <c r="N400" s="57"/>
      <c r="O400" s="57"/>
      <c r="P400" s="68"/>
      <c r="Q400" s="58"/>
      <c r="R400" s="76"/>
      <c r="S400" s="76"/>
      <c r="T400" s="128"/>
    </row>
    <row r="401" spans="1:20" outlineLevel="1" x14ac:dyDescent="0.25">
      <c r="A401" s="6" t="s">
        <v>401</v>
      </c>
      <c r="B401" s="75" t="s">
        <v>383</v>
      </c>
      <c r="C401" s="25"/>
      <c r="D401" s="92">
        <v>1</v>
      </c>
      <c r="E401" s="110">
        <v>750</v>
      </c>
      <c r="F401" s="93">
        <f t="shared" si="127"/>
        <v>750</v>
      </c>
      <c r="G401" s="74">
        <f t="shared" si="119"/>
        <v>0</v>
      </c>
      <c r="H401" s="95">
        <f t="shared" si="123"/>
        <v>750</v>
      </c>
      <c r="I401" s="112"/>
      <c r="J401" s="57">
        <v>750</v>
      </c>
      <c r="K401" s="57"/>
      <c r="L401" s="57"/>
      <c r="M401" s="57"/>
      <c r="N401" s="57"/>
      <c r="O401" s="57"/>
      <c r="P401" s="68"/>
      <c r="Q401" s="58"/>
      <c r="R401" s="76"/>
      <c r="S401" s="76"/>
      <c r="T401" s="128"/>
    </row>
    <row r="402" spans="1:20" outlineLevel="1" x14ac:dyDescent="0.25">
      <c r="A402" s="6" t="s">
        <v>402</v>
      </c>
      <c r="B402" s="75" t="s">
        <v>384</v>
      </c>
      <c r="C402" s="25"/>
      <c r="D402" s="92">
        <v>1</v>
      </c>
      <c r="E402" s="110">
        <v>400</v>
      </c>
      <c r="F402" s="93">
        <f t="shared" si="127"/>
        <v>400</v>
      </c>
      <c r="G402" s="74">
        <f t="shared" si="119"/>
        <v>0</v>
      </c>
      <c r="H402" s="95">
        <f t="shared" si="123"/>
        <v>400</v>
      </c>
      <c r="I402" s="112"/>
      <c r="J402" s="57">
        <v>400</v>
      </c>
      <c r="K402" s="57"/>
      <c r="L402" s="57"/>
      <c r="M402" s="57"/>
      <c r="N402" s="57"/>
      <c r="O402" s="57"/>
      <c r="P402" s="68"/>
      <c r="Q402" s="58"/>
      <c r="R402" s="76"/>
      <c r="S402" s="76"/>
      <c r="T402" s="128"/>
    </row>
    <row r="403" spans="1:20" outlineLevel="1" x14ac:dyDescent="0.25">
      <c r="A403" s="6" t="s">
        <v>815</v>
      </c>
      <c r="B403" s="75" t="s">
        <v>385</v>
      </c>
      <c r="C403" s="25"/>
      <c r="D403" s="92">
        <v>1</v>
      </c>
      <c r="E403" s="110">
        <v>1000</v>
      </c>
      <c r="F403" s="93">
        <f>D403*E403</f>
        <v>1000</v>
      </c>
      <c r="G403" s="74">
        <f t="shared" si="119"/>
        <v>0</v>
      </c>
      <c r="H403" s="95">
        <f t="shared" si="123"/>
        <v>1000</v>
      </c>
      <c r="I403" s="112"/>
      <c r="J403" s="57">
        <v>1000</v>
      </c>
      <c r="K403" s="57"/>
      <c r="L403" s="57"/>
      <c r="M403" s="57"/>
      <c r="N403" s="57"/>
      <c r="O403" s="57"/>
      <c r="P403" s="68"/>
      <c r="Q403" s="58"/>
      <c r="R403" s="76"/>
      <c r="S403" s="76"/>
      <c r="T403" s="128"/>
    </row>
    <row r="404" spans="1:20" outlineLevel="1" x14ac:dyDescent="0.25">
      <c r="A404" s="6" t="s">
        <v>816</v>
      </c>
      <c r="B404" s="75" t="s">
        <v>386</v>
      </c>
      <c r="C404" s="25"/>
      <c r="D404" s="92">
        <v>1</v>
      </c>
      <c r="E404" s="110">
        <v>900</v>
      </c>
      <c r="F404" s="93">
        <f>D404*E404</f>
        <v>900</v>
      </c>
      <c r="G404" s="74">
        <f t="shared" si="119"/>
        <v>0</v>
      </c>
      <c r="H404" s="95">
        <f t="shared" si="123"/>
        <v>900</v>
      </c>
      <c r="I404" s="112"/>
      <c r="J404" s="57">
        <v>900</v>
      </c>
      <c r="K404" s="57"/>
      <c r="L404" s="57"/>
      <c r="M404" s="57"/>
      <c r="N404" s="57"/>
      <c r="O404" s="57"/>
      <c r="P404" s="68"/>
      <c r="Q404" s="58"/>
      <c r="R404" s="76"/>
      <c r="S404" s="76"/>
      <c r="T404" s="128"/>
    </row>
    <row r="405" spans="1:20" outlineLevel="1" x14ac:dyDescent="0.25">
      <c r="A405" s="6" t="s">
        <v>817</v>
      </c>
      <c r="B405" s="75" t="s">
        <v>387</v>
      </c>
      <c r="C405" s="25"/>
      <c r="D405" s="92">
        <v>1</v>
      </c>
      <c r="E405" s="110">
        <v>900</v>
      </c>
      <c r="F405" s="93">
        <f t="shared" si="127"/>
        <v>900</v>
      </c>
      <c r="G405" s="74">
        <f t="shared" si="119"/>
        <v>0</v>
      </c>
      <c r="H405" s="95">
        <f t="shared" si="123"/>
        <v>900</v>
      </c>
      <c r="I405" s="112"/>
      <c r="J405" s="57">
        <v>900</v>
      </c>
      <c r="K405" s="57"/>
      <c r="L405" s="57"/>
      <c r="M405" s="57"/>
      <c r="N405" s="57"/>
      <c r="O405" s="57"/>
      <c r="P405" s="68"/>
      <c r="Q405" s="58"/>
      <c r="R405" s="76"/>
      <c r="S405" s="76"/>
      <c r="T405" s="128"/>
    </row>
    <row r="406" spans="1:20" outlineLevel="1" x14ac:dyDescent="0.25">
      <c r="A406" s="4" t="s">
        <v>818</v>
      </c>
      <c r="B406" s="75" t="s">
        <v>47</v>
      </c>
      <c r="C406" s="25"/>
      <c r="D406" s="92">
        <v>1</v>
      </c>
      <c r="E406" s="110">
        <v>1000</v>
      </c>
      <c r="F406" s="93">
        <f t="shared" si="127"/>
        <v>1000</v>
      </c>
      <c r="G406" s="74">
        <f t="shared" si="119"/>
        <v>0</v>
      </c>
      <c r="H406" s="95">
        <f t="shared" si="123"/>
        <v>1000</v>
      </c>
      <c r="I406" s="112"/>
      <c r="J406" s="57"/>
      <c r="K406" s="57"/>
      <c r="L406" s="57"/>
      <c r="M406" s="57">
        <v>1000</v>
      </c>
      <c r="N406" s="57"/>
      <c r="O406" s="57"/>
      <c r="P406" s="68"/>
      <c r="Q406" s="58"/>
      <c r="R406" s="76"/>
      <c r="S406" s="76"/>
      <c r="T406" s="128"/>
    </row>
    <row r="407" spans="1:20" s="3" customFormat="1" ht="15.75" x14ac:dyDescent="0.25">
      <c r="A407" s="7" t="s">
        <v>403</v>
      </c>
      <c r="B407" s="13" t="s">
        <v>388</v>
      </c>
      <c r="C407" s="23"/>
      <c r="D407" s="24"/>
      <c r="E407" s="17"/>
      <c r="F407" s="82">
        <f>SUM(F408:F410)</f>
        <v>15000</v>
      </c>
      <c r="G407" s="89">
        <f>H407-F407</f>
        <v>0</v>
      </c>
      <c r="H407" s="18">
        <f>SUM(I407:Q407)</f>
        <v>15000</v>
      </c>
      <c r="I407" s="54">
        <f t="shared" ref="I407:Q407" si="128">SUM(I408:I410)</f>
        <v>2000</v>
      </c>
      <c r="J407" s="55">
        <f t="shared" si="128"/>
        <v>0</v>
      </c>
      <c r="K407" s="55">
        <f t="shared" si="128"/>
        <v>7985</v>
      </c>
      <c r="L407" s="55">
        <f t="shared" si="128"/>
        <v>0</v>
      </c>
      <c r="M407" s="55">
        <f t="shared" si="128"/>
        <v>5015</v>
      </c>
      <c r="N407" s="55">
        <f t="shared" si="128"/>
        <v>0</v>
      </c>
      <c r="O407" s="55">
        <f t="shared" si="128"/>
        <v>0</v>
      </c>
      <c r="P407" s="55">
        <f t="shared" si="128"/>
        <v>0</v>
      </c>
      <c r="Q407" s="56">
        <f t="shared" si="128"/>
        <v>0</v>
      </c>
      <c r="R407" s="33">
        <v>11000</v>
      </c>
      <c r="S407" s="33">
        <v>11223.26</v>
      </c>
      <c r="T407" s="127">
        <f>S407*100/R407</f>
        <v>102.02963636363636</v>
      </c>
    </row>
    <row r="408" spans="1:20" outlineLevel="1" x14ac:dyDescent="0.25">
      <c r="A408" s="4" t="s">
        <v>404</v>
      </c>
      <c r="B408" s="75" t="s">
        <v>391</v>
      </c>
      <c r="C408" s="25"/>
      <c r="D408" s="92">
        <v>1</v>
      </c>
      <c r="E408" s="110">
        <v>10000</v>
      </c>
      <c r="F408" s="93">
        <f>D408*E408</f>
        <v>10000</v>
      </c>
      <c r="G408" s="74">
        <f>H408-F408</f>
        <v>0</v>
      </c>
      <c r="H408" s="95">
        <f>SUM(I408:Q408)</f>
        <v>10000</v>
      </c>
      <c r="I408" s="112">
        <v>2000</v>
      </c>
      <c r="J408" s="57"/>
      <c r="K408" s="57">
        <f>6300*0.95</f>
        <v>5985</v>
      </c>
      <c r="L408" s="57"/>
      <c r="M408" s="57">
        <f>2645-630</f>
        <v>2015</v>
      </c>
      <c r="N408" s="57"/>
      <c r="O408" s="57"/>
      <c r="P408" s="68"/>
      <c r="Q408" s="58"/>
      <c r="R408" s="76"/>
      <c r="S408" s="76"/>
      <c r="T408" s="128"/>
    </row>
    <row r="409" spans="1:20" outlineLevel="1" x14ac:dyDescent="0.25">
      <c r="A409" s="4" t="s">
        <v>405</v>
      </c>
      <c r="B409" s="75" t="s">
        <v>875</v>
      </c>
      <c r="C409" s="25"/>
      <c r="D409" s="92">
        <v>1</v>
      </c>
      <c r="E409" s="110">
        <v>3000</v>
      </c>
      <c r="F409" s="93">
        <f>D409*E409</f>
        <v>3000</v>
      </c>
      <c r="G409" s="74">
        <f>H409-F409</f>
        <v>0</v>
      </c>
      <c r="H409" s="95">
        <f>SUM(I409:Q409)</f>
        <v>3000</v>
      </c>
      <c r="I409" s="112"/>
      <c r="J409" s="57"/>
      <c r="K409" s="57"/>
      <c r="L409" s="57"/>
      <c r="M409" s="57">
        <v>3000</v>
      </c>
      <c r="N409" s="57"/>
      <c r="O409" s="57"/>
      <c r="P409" s="68"/>
      <c r="Q409" s="58"/>
      <c r="R409" s="76"/>
      <c r="S409" s="76"/>
      <c r="T409" s="128"/>
    </row>
    <row r="410" spans="1:20" outlineLevel="1" x14ac:dyDescent="0.25">
      <c r="A410" s="4" t="s">
        <v>412</v>
      </c>
      <c r="B410" s="75" t="s">
        <v>47</v>
      </c>
      <c r="C410" s="25"/>
      <c r="D410" s="92">
        <v>1</v>
      </c>
      <c r="E410" s="110">
        <v>2000</v>
      </c>
      <c r="F410" s="93">
        <f>D410*E410</f>
        <v>2000</v>
      </c>
      <c r="G410" s="74">
        <f>H410-F410</f>
        <v>0</v>
      </c>
      <c r="H410" s="95">
        <f>SUM(I410:Q410)</f>
        <v>2000</v>
      </c>
      <c r="I410" s="112"/>
      <c r="J410" s="57"/>
      <c r="K410" s="57">
        <f>3400*0.95-1230</f>
        <v>2000</v>
      </c>
      <c r="L410" s="57"/>
      <c r="M410" s="57"/>
      <c r="N410" s="57"/>
      <c r="O410" s="57"/>
      <c r="P410" s="68"/>
      <c r="Q410" s="58"/>
      <c r="R410" s="76"/>
      <c r="S410" s="76"/>
      <c r="T410" s="128"/>
    </row>
    <row r="411" spans="1:20" s="3" customFormat="1" ht="15.75" x14ac:dyDescent="0.25">
      <c r="A411" s="7" t="s">
        <v>407</v>
      </c>
      <c r="B411" s="13" t="s">
        <v>250</v>
      </c>
      <c r="C411" s="23"/>
      <c r="D411" s="24"/>
      <c r="E411" s="17"/>
      <c r="F411" s="82">
        <f>SUM(F412:F418)</f>
        <v>18340</v>
      </c>
      <c r="G411" s="89">
        <f t="shared" si="119"/>
        <v>0</v>
      </c>
      <c r="H411" s="18">
        <f t="shared" si="123"/>
        <v>18340</v>
      </c>
      <c r="I411" s="54">
        <f t="shared" ref="I411:Q411" si="129">SUM(I412:I418)</f>
        <v>520</v>
      </c>
      <c r="J411" s="55">
        <f t="shared" si="129"/>
        <v>0</v>
      </c>
      <c r="K411" s="55">
        <f t="shared" si="129"/>
        <v>6930</v>
      </c>
      <c r="L411" s="55">
        <f t="shared" si="129"/>
        <v>0</v>
      </c>
      <c r="M411" s="55">
        <f t="shared" si="129"/>
        <v>5910</v>
      </c>
      <c r="N411" s="55">
        <f t="shared" si="129"/>
        <v>0</v>
      </c>
      <c r="O411" s="55">
        <f t="shared" si="129"/>
        <v>0</v>
      </c>
      <c r="P411" s="55">
        <f t="shared" si="129"/>
        <v>0</v>
      </c>
      <c r="Q411" s="56">
        <f t="shared" si="129"/>
        <v>4980</v>
      </c>
      <c r="R411" s="33">
        <v>34725</v>
      </c>
      <c r="S411" s="33">
        <f>2383.26+77.76+665.13+385.18+430.39+150+3551.38+21049</f>
        <v>28692.1</v>
      </c>
      <c r="T411" s="127">
        <f>S411*100/R411</f>
        <v>82.626637868970477</v>
      </c>
    </row>
    <row r="412" spans="1:20" outlineLevel="1" x14ac:dyDescent="0.25">
      <c r="A412" s="4" t="s">
        <v>408</v>
      </c>
      <c r="B412" s="75" t="s">
        <v>389</v>
      </c>
      <c r="C412" s="25"/>
      <c r="D412" s="92">
        <v>1</v>
      </c>
      <c r="E412" s="110">
        <v>3500</v>
      </c>
      <c r="F412" s="93">
        <f t="shared" ref="F412:F418" si="130">D412*E412</f>
        <v>3500</v>
      </c>
      <c r="G412" s="74">
        <f t="shared" si="119"/>
        <v>0</v>
      </c>
      <c r="H412" s="95">
        <f t="shared" si="123"/>
        <v>3500</v>
      </c>
      <c r="I412" s="112"/>
      <c r="J412" s="57"/>
      <c r="K412" s="57">
        <v>1230</v>
      </c>
      <c r="L412" s="57"/>
      <c r="M412" s="57">
        <f>3500-1230</f>
        <v>2270</v>
      </c>
      <c r="N412" s="57"/>
      <c r="O412" s="57"/>
      <c r="P412" s="68"/>
      <c r="Q412" s="58"/>
      <c r="R412" s="76"/>
      <c r="S412" s="76"/>
      <c r="T412" s="128"/>
    </row>
    <row r="413" spans="1:20" outlineLevel="1" x14ac:dyDescent="0.25">
      <c r="A413" s="4" t="s">
        <v>409</v>
      </c>
      <c r="B413" s="75" t="s">
        <v>390</v>
      </c>
      <c r="C413" s="25"/>
      <c r="D413" s="92">
        <v>1</v>
      </c>
      <c r="E413" s="110">
        <v>500</v>
      </c>
      <c r="F413" s="93">
        <f t="shared" si="130"/>
        <v>500</v>
      </c>
      <c r="G413" s="74">
        <f t="shared" si="119"/>
        <v>0</v>
      </c>
      <c r="H413" s="95">
        <f t="shared" si="123"/>
        <v>500</v>
      </c>
      <c r="I413" s="112"/>
      <c r="J413" s="57"/>
      <c r="K413" s="57"/>
      <c r="L413" s="57"/>
      <c r="M413" s="57">
        <v>500</v>
      </c>
      <c r="N413" s="57"/>
      <c r="O413" s="57"/>
      <c r="P413" s="68"/>
      <c r="Q413" s="58"/>
      <c r="R413" s="76"/>
      <c r="S413" s="76"/>
      <c r="T413" s="128"/>
    </row>
    <row r="414" spans="1:20" outlineLevel="1" x14ac:dyDescent="0.25">
      <c r="A414" s="4" t="s">
        <v>410</v>
      </c>
      <c r="B414" s="75" t="s">
        <v>876</v>
      </c>
      <c r="C414" s="25"/>
      <c r="D414" s="92">
        <v>1</v>
      </c>
      <c r="E414" s="110">
        <v>1500</v>
      </c>
      <c r="F414" s="93">
        <f t="shared" si="130"/>
        <v>1500</v>
      </c>
      <c r="G414" s="74">
        <f t="shared" si="119"/>
        <v>0</v>
      </c>
      <c r="H414" s="95">
        <f t="shared" si="123"/>
        <v>1500</v>
      </c>
      <c r="I414" s="112"/>
      <c r="J414" s="57"/>
      <c r="K414" s="57"/>
      <c r="L414" s="57"/>
      <c r="M414" s="57">
        <v>1500</v>
      </c>
      <c r="N414" s="57"/>
      <c r="O414" s="57"/>
      <c r="P414" s="68"/>
      <c r="Q414" s="58"/>
      <c r="R414" s="76"/>
      <c r="S414" s="76"/>
      <c r="T414" s="128"/>
    </row>
    <row r="415" spans="1:20" outlineLevel="1" x14ac:dyDescent="0.25">
      <c r="A415" s="4" t="s">
        <v>359</v>
      </c>
      <c r="B415" s="75" t="s">
        <v>877</v>
      </c>
      <c r="C415" s="25"/>
      <c r="D415" s="92">
        <v>1</v>
      </c>
      <c r="E415" s="110">
        <v>920</v>
      </c>
      <c r="F415" s="93">
        <f>D415*E415</f>
        <v>920</v>
      </c>
      <c r="G415" s="74">
        <f>H415-F415</f>
        <v>0</v>
      </c>
      <c r="H415" s="95">
        <f>SUM(I415:Q415)</f>
        <v>920</v>
      </c>
      <c r="I415" s="112"/>
      <c r="J415" s="57"/>
      <c r="K415" s="57"/>
      <c r="L415" s="57"/>
      <c r="M415" s="57">
        <v>920</v>
      </c>
      <c r="N415" s="57"/>
      <c r="O415" s="57"/>
      <c r="P415" s="68"/>
      <c r="Q415" s="58"/>
      <c r="R415" s="76"/>
      <c r="S415" s="76"/>
      <c r="T415" s="128"/>
    </row>
    <row r="416" spans="1:20" outlineLevel="1" x14ac:dyDescent="0.25">
      <c r="A416" s="4" t="s">
        <v>411</v>
      </c>
      <c r="B416" s="75" t="s">
        <v>878</v>
      </c>
      <c r="C416" s="25"/>
      <c r="D416" s="92">
        <v>1</v>
      </c>
      <c r="E416" s="110">
        <v>5700</v>
      </c>
      <c r="F416" s="93">
        <f t="shared" si="130"/>
        <v>5700</v>
      </c>
      <c r="G416" s="74">
        <f t="shared" si="119"/>
        <v>0</v>
      </c>
      <c r="H416" s="95">
        <f t="shared" si="123"/>
        <v>5700</v>
      </c>
      <c r="I416" s="112"/>
      <c r="J416" s="57"/>
      <c r="K416" s="57">
        <f>6000*0.95</f>
        <v>5700</v>
      </c>
      <c r="L416" s="57"/>
      <c r="M416" s="57"/>
      <c r="N416" s="57"/>
      <c r="O416" s="57"/>
      <c r="P416" s="68"/>
      <c r="Q416" s="58"/>
      <c r="R416" s="76"/>
      <c r="S416" s="76"/>
      <c r="T416" s="128"/>
    </row>
    <row r="417" spans="1:20" outlineLevel="1" x14ac:dyDescent="0.25">
      <c r="A417" s="4" t="s">
        <v>879</v>
      </c>
      <c r="B417" s="75" t="s">
        <v>991</v>
      </c>
      <c r="C417" s="25"/>
      <c r="D417" s="92">
        <v>1</v>
      </c>
      <c r="E417" s="110">
        <v>520</v>
      </c>
      <c r="F417" s="93">
        <f t="shared" si="130"/>
        <v>520</v>
      </c>
      <c r="G417" s="74">
        <f t="shared" si="119"/>
        <v>0</v>
      </c>
      <c r="H417" s="95">
        <f t="shared" si="123"/>
        <v>520</v>
      </c>
      <c r="I417" s="112">
        <v>520</v>
      </c>
      <c r="J417" s="57"/>
      <c r="K417" s="57"/>
      <c r="L417" s="57"/>
      <c r="M417" s="57"/>
      <c r="N417" s="57"/>
      <c r="O417" s="57"/>
      <c r="P417" s="68"/>
      <c r="Q417" s="58"/>
      <c r="R417" s="76"/>
      <c r="S417" s="76"/>
      <c r="T417" s="128"/>
    </row>
    <row r="418" spans="1:20" outlineLevel="1" x14ac:dyDescent="0.25">
      <c r="A418" s="4" t="s">
        <v>957</v>
      </c>
      <c r="B418" s="75" t="s">
        <v>47</v>
      </c>
      <c r="C418" s="25"/>
      <c r="D418" s="92">
        <v>1</v>
      </c>
      <c r="E418" s="110">
        <v>5700</v>
      </c>
      <c r="F418" s="93">
        <f t="shared" si="130"/>
        <v>5700</v>
      </c>
      <c r="G418" s="74">
        <f t="shared" si="119"/>
        <v>0</v>
      </c>
      <c r="H418" s="95">
        <f t="shared" si="123"/>
        <v>5700</v>
      </c>
      <c r="I418" s="112"/>
      <c r="J418" s="57"/>
      <c r="K418" s="57"/>
      <c r="L418" s="57"/>
      <c r="M418" s="57">
        <v>720</v>
      </c>
      <c r="N418" s="57"/>
      <c r="O418" s="57"/>
      <c r="P418" s="68"/>
      <c r="Q418" s="58">
        <v>4980</v>
      </c>
      <c r="R418" s="76"/>
      <c r="S418" s="76"/>
      <c r="T418" s="128"/>
    </row>
    <row r="419" spans="1:20" s="3" customFormat="1" ht="15.75" x14ac:dyDescent="0.25">
      <c r="A419" s="7" t="s">
        <v>413</v>
      </c>
      <c r="B419" s="13" t="s">
        <v>286</v>
      </c>
      <c r="C419" s="23"/>
      <c r="D419" s="24"/>
      <c r="E419" s="17"/>
      <c r="F419" s="82">
        <f>SUM(F420:F423)</f>
        <v>6160</v>
      </c>
      <c r="G419" s="89">
        <f t="shared" si="119"/>
        <v>0</v>
      </c>
      <c r="H419" s="18">
        <f t="shared" si="123"/>
        <v>6160</v>
      </c>
      <c r="I419" s="54">
        <f t="shared" ref="I419:Q419" si="131">SUM(I420:I423)</f>
        <v>0</v>
      </c>
      <c r="J419" s="55">
        <f t="shared" si="131"/>
        <v>0</v>
      </c>
      <c r="K419" s="55">
        <f t="shared" si="131"/>
        <v>5200</v>
      </c>
      <c r="L419" s="55">
        <f t="shared" si="131"/>
        <v>0</v>
      </c>
      <c r="M419" s="55">
        <f t="shared" si="131"/>
        <v>960</v>
      </c>
      <c r="N419" s="55">
        <f t="shared" si="131"/>
        <v>0</v>
      </c>
      <c r="O419" s="55">
        <f t="shared" si="131"/>
        <v>0</v>
      </c>
      <c r="P419" s="55">
        <f t="shared" si="131"/>
        <v>0</v>
      </c>
      <c r="Q419" s="56">
        <f t="shared" si="131"/>
        <v>0</v>
      </c>
      <c r="R419" s="33">
        <v>7000</v>
      </c>
      <c r="S419" s="33">
        <f>222.8+1779.93+3320.91</f>
        <v>5323.6399999999994</v>
      </c>
      <c r="T419" s="127">
        <f>S419*100/R419</f>
        <v>76.052000000000007</v>
      </c>
    </row>
    <row r="420" spans="1:20" outlineLevel="1" x14ac:dyDescent="0.25">
      <c r="A420" s="4" t="s">
        <v>404</v>
      </c>
      <c r="B420" s="75" t="s">
        <v>880</v>
      </c>
      <c r="C420" s="25"/>
      <c r="D420" s="92">
        <v>1</v>
      </c>
      <c r="E420" s="110">
        <v>3500</v>
      </c>
      <c r="F420" s="93">
        <f>D420*E420</f>
        <v>3500</v>
      </c>
      <c r="G420" s="74">
        <f t="shared" si="119"/>
        <v>0</v>
      </c>
      <c r="H420" s="95">
        <f t="shared" si="123"/>
        <v>3500</v>
      </c>
      <c r="I420" s="112"/>
      <c r="J420" s="57"/>
      <c r="K420" s="57">
        <v>3500</v>
      </c>
      <c r="L420" s="57"/>
      <c r="M420" s="57"/>
      <c r="N420" s="57"/>
      <c r="O420" s="57"/>
      <c r="P420" s="68"/>
      <c r="Q420" s="58"/>
      <c r="R420" s="76"/>
      <c r="S420" s="76"/>
      <c r="T420" s="128"/>
    </row>
    <row r="421" spans="1:20" outlineLevel="1" x14ac:dyDescent="0.25">
      <c r="A421" s="6" t="s">
        <v>405</v>
      </c>
      <c r="B421" s="75" t="s">
        <v>881</v>
      </c>
      <c r="C421" s="25"/>
      <c r="D421" s="92">
        <v>1</v>
      </c>
      <c r="E421" s="110">
        <v>960</v>
      </c>
      <c r="F421" s="93">
        <f>D421*E421</f>
        <v>960</v>
      </c>
      <c r="G421" s="74">
        <f t="shared" si="119"/>
        <v>0</v>
      </c>
      <c r="H421" s="95">
        <f t="shared" si="123"/>
        <v>960</v>
      </c>
      <c r="I421" s="112"/>
      <c r="J421" s="57"/>
      <c r="K421" s="57"/>
      <c r="L421" s="57"/>
      <c r="M421" s="57">
        <v>960</v>
      </c>
      <c r="N421" s="57"/>
      <c r="O421" s="57"/>
      <c r="P421" s="68"/>
      <c r="Q421" s="58"/>
      <c r="R421" s="76"/>
      <c r="S421" s="76"/>
      <c r="T421" s="128"/>
    </row>
    <row r="422" spans="1:20" outlineLevel="1" x14ac:dyDescent="0.25">
      <c r="A422" s="4" t="s">
        <v>412</v>
      </c>
      <c r="B422" s="75" t="s">
        <v>381</v>
      </c>
      <c r="C422" s="25"/>
      <c r="D422" s="92">
        <v>1</v>
      </c>
      <c r="E422" s="110">
        <v>1700</v>
      </c>
      <c r="F422" s="93">
        <f>D422*E422</f>
        <v>1700</v>
      </c>
      <c r="G422" s="74">
        <f t="shared" si="119"/>
        <v>0</v>
      </c>
      <c r="H422" s="95">
        <f t="shared" si="123"/>
        <v>1700</v>
      </c>
      <c r="I422" s="112"/>
      <c r="J422" s="57"/>
      <c r="K422" s="57">
        <v>1700</v>
      </c>
      <c r="L422" s="57"/>
      <c r="M422" s="57"/>
      <c r="N422" s="57"/>
      <c r="O422" s="57"/>
      <c r="P422" s="68"/>
      <c r="Q422" s="58"/>
      <c r="R422" s="76"/>
      <c r="S422" s="76"/>
      <c r="T422" s="128"/>
    </row>
    <row r="423" spans="1:20" outlineLevel="1" x14ac:dyDescent="0.25">
      <c r="A423" s="4" t="s">
        <v>406</v>
      </c>
      <c r="B423" s="75" t="s">
        <v>47</v>
      </c>
      <c r="C423" s="25"/>
      <c r="D423" s="92"/>
      <c r="E423" s="110"/>
      <c r="F423" s="93">
        <f>D423*E423</f>
        <v>0</v>
      </c>
      <c r="G423" s="74">
        <f t="shared" si="119"/>
        <v>0</v>
      </c>
      <c r="H423" s="95">
        <f t="shared" si="123"/>
        <v>0</v>
      </c>
      <c r="I423" s="112"/>
      <c r="J423" s="57"/>
      <c r="K423" s="57"/>
      <c r="L423" s="57"/>
      <c r="M423" s="57"/>
      <c r="N423" s="57"/>
      <c r="O423" s="57"/>
      <c r="P423" s="68"/>
      <c r="Q423" s="58"/>
      <c r="R423" s="76"/>
      <c r="S423" s="76"/>
      <c r="T423" s="128"/>
    </row>
    <row r="424" spans="1:20" s="3" customFormat="1" ht="15.75" x14ac:dyDescent="0.25">
      <c r="A424" s="7" t="s">
        <v>950</v>
      </c>
      <c r="B424" s="13" t="s">
        <v>495</v>
      </c>
      <c r="C424" s="23"/>
      <c r="D424" s="24"/>
      <c r="E424" s="17"/>
      <c r="F424" s="82">
        <f>SUM(F425:F425)</f>
        <v>11980</v>
      </c>
      <c r="G424" s="89">
        <f t="shared" si="119"/>
        <v>0</v>
      </c>
      <c r="H424" s="18">
        <f t="shared" si="123"/>
        <v>11980</v>
      </c>
      <c r="I424" s="54">
        <f t="shared" ref="I424:Q424" si="132">SUM(I425:I425)</f>
        <v>0</v>
      </c>
      <c r="J424" s="55">
        <f t="shared" si="132"/>
        <v>0</v>
      </c>
      <c r="K424" s="55">
        <f t="shared" si="132"/>
        <v>310</v>
      </c>
      <c r="L424" s="55">
        <f t="shared" si="132"/>
        <v>0</v>
      </c>
      <c r="M424" s="55">
        <f t="shared" si="132"/>
        <v>6690</v>
      </c>
      <c r="N424" s="55">
        <f t="shared" si="132"/>
        <v>0</v>
      </c>
      <c r="O424" s="55">
        <f t="shared" si="132"/>
        <v>0</v>
      </c>
      <c r="P424" s="55">
        <f t="shared" si="132"/>
        <v>0</v>
      </c>
      <c r="Q424" s="56">
        <f t="shared" si="132"/>
        <v>4980</v>
      </c>
      <c r="R424" s="33">
        <v>24900</v>
      </c>
      <c r="S424" s="33">
        <f>7000</f>
        <v>7000</v>
      </c>
      <c r="T424" s="127">
        <f>S424*100/R424</f>
        <v>28.112449799196789</v>
      </c>
    </row>
    <row r="425" spans="1:20" outlineLevel="1" x14ac:dyDescent="0.25">
      <c r="A425" s="4" t="s">
        <v>414</v>
      </c>
      <c r="B425" s="75" t="s">
        <v>495</v>
      </c>
      <c r="C425" s="25"/>
      <c r="D425" s="92">
        <v>1</v>
      </c>
      <c r="E425" s="110">
        <f>7000+4980</f>
        <v>11980</v>
      </c>
      <c r="F425" s="93">
        <f>D425*E425</f>
        <v>11980</v>
      </c>
      <c r="G425" s="74">
        <f t="shared" si="119"/>
        <v>0</v>
      </c>
      <c r="H425" s="95">
        <f t="shared" si="123"/>
        <v>11980</v>
      </c>
      <c r="I425" s="112"/>
      <c r="J425" s="57"/>
      <c r="K425" s="57">
        <v>310</v>
      </c>
      <c r="L425" s="57"/>
      <c r="M425" s="57">
        <f>11670-4980</f>
        <v>6690</v>
      </c>
      <c r="N425" s="57"/>
      <c r="O425" s="57"/>
      <c r="P425" s="57"/>
      <c r="Q425" s="58">
        <v>4980</v>
      </c>
      <c r="R425" s="76"/>
      <c r="S425" s="76"/>
      <c r="T425" s="128"/>
    </row>
    <row r="426" spans="1:20" s="2" customFormat="1" ht="21" x14ac:dyDescent="0.35">
      <c r="A426" s="8" t="s">
        <v>415</v>
      </c>
      <c r="B426" s="12" t="s">
        <v>392</v>
      </c>
      <c r="C426" s="21"/>
      <c r="D426" s="22"/>
      <c r="E426" s="15"/>
      <c r="F426" s="84">
        <f>F427+F432+F436+F440+F444</f>
        <v>106230</v>
      </c>
      <c r="G426" s="89">
        <f t="shared" si="119"/>
        <v>0</v>
      </c>
      <c r="H426" s="16">
        <f t="shared" si="123"/>
        <v>106230</v>
      </c>
      <c r="I426" s="51">
        <f t="shared" ref="I426:Q426" si="133">I427+I432+I436+I440+I444</f>
        <v>11270</v>
      </c>
      <c r="J426" s="51">
        <f t="shared" si="133"/>
        <v>17000</v>
      </c>
      <c r="K426" s="51">
        <f t="shared" si="133"/>
        <v>60230</v>
      </c>
      <c r="L426" s="51">
        <f t="shared" si="133"/>
        <v>0</v>
      </c>
      <c r="M426" s="51">
        <f t="shared" si="133"/>
        <v>0</v>
      </c>
      <c r="N426" s="51">
        <f t="shared" si="133"/>
        <v>7730</v>
      </c>
      <c r="O426" s="51">
        <f t="shared" si="133"/>
        <v>10000</v>
      </c>
      <c r="P426" s="51">
        <f t="shared" si="133"/>
        <v>0</v>
      </c>
      <c r="Q426" s="59">
        <f t="shared" si="133"/>
        <v>0</v>
      </c>
      <c r="R426" s="32">
        <f>+R427+R432+R436+R440+R444</f>
        <v>133597</v>
      </c>
      <c r="S426" s="32">
        <f>S427+S432+S436+S440+S444</f>
        <v>105113.53</v>
      </c>
      <c r="T426" s="126">
        <f>S426*100/R426</f>
        <v>78.679558672724681</v>
      </c>
    </row>
    <row r="427" spans="1:20" s="3" customFormat="1" ht="15.75" x14ac:dyDescent="0.25">
      <c r="A427" s="7" t="s">
        <v>417</v>
      </c>
      <c r="B427" s="13" t="s">
        <v>265</v>
      </c>
      <c r="C427" s="23"/>
      <c r="D427" s="24"/>
      <c r="E427" s="17"/>
      <c r="F427" s="82">
        <f>SUM(F428:F431)</f>
        <v>1000</v>
      </c>
      <c r="G427" s="89">
        <f t="shared" si="119"/>
        <v>0</v>
      </c>
      <c r="H427" s="18">
        <f t="shared" si="123"/>
        <v>1000</v>
      </c>
      <c r="I427" s="54">
        <f t="shared" ref="I427:Q427" si="134">SUM(I428:I431)</f>
        <v>1000</v>
      </c>
      <c r="J427" s="55">
        <f t="shared" si="134"/>
        <v>0</v>
      </c>
      <c r="K427" s="55">
        <f t="shared" si="134"/>
        <v>0</v>
      </c>
      <c r="L427" s="55">
        <f t="shared" si="134"/>
        <v>0</v>
      </c>
      <c r="M427" s="55">
        <f>SUM(M428:M431)</f>
        <v>0</v>
      </c>
      <c r="N427" s="55">
        <f t="shared" si="134"/>
        <v>0</v>
      </c>
      <c r="O427" s="55">
        <f t="shared" si="134"/>
        <v>0</v>
      </c>
      <c r="P427" s="55">
        <f t="shared" si="134"/>
        <v>0</v>
      </c>
      <c r="Q427" s="56">
        <f t="shared" si="134"/>
        <v>0</v>
      </c>
      <c r="R427" s="33">
        <v>2000</v>
      </c>
      <c r="S427" s="33">
        <f>2626.43+147.72+10+46</f>
        <v>2830.1499999999996</v>
      </c>
      <c r="T427" s="127">
        <f>S427*100/R427</f>
        <v>141.50749999999996</v>
      </c>
    </row>
    <row r="428" spans="1:20" outlineLevel="1" x14ac:dyDescent="0.25">
      <c r="A428" s="5" t="s">
        <v>418</v>
      </c>
      <c r="B428" s="75" t="s">
        <v>281</v>
      </c>
      <c r="C428" s="25"/>
      <c r="D428" s="92">
        <v>1</v>
      </c>
      <c r="E428" s="110">
        <v>200</v>
      </c>
      <c r="F428" s="93">
        <f>D428*E428</f>
        <v>200</v>
      </c>
      <c r="G428" s="74">
        <f t="shared" si="119"/>
        <v>0</v>
      </c>
      <c r="H428" s="95">
        <f t="shared" si="123"/>
        <v>200</v>
      </c>
      <c r="I428" s="112">
        <v>200</v>
      </c>
      <c r="J428" s="57"/>
      <c r="K428" s="57"/>
      <c r="L428" s="57"/>
      <c r="M428" s="57"/>
      <c r="N428" s="57"/>
      <c r="O428" s="57"/>
      <c r="P428" s="68"/>
      <c r="Q428" s="58"/>
      <c r="R428" s="76"/>
      <c r="S428" s="76"/>
      <c r="T428" s="128"/>
    </row>
    <row r="429" spans="1:20" outlineLevel="1" x14ac:dyDescent="0.25">
      <c r="A429" s="4" t="s">
        <v>419</v>
      </c>
      <c r="B429" s="75" t="s">
        <v>309</v>
      </c>
      <c r="C429" s="25"/>
      <c r="D429" s="92">
        <v>4</v>
      </c>
      <c r="E429" s="110">
        <v>100</v>
      </c>
      <c r="F429" s="93">
        <f>D429*E429</f>
        <v>400</v>
      </c>
      <c r="G429" s="74">
        <f t="shared" si="119"/>
        <v>0</v>
      </c>
      <c r="H429" s="95">
        <f t="shared" si="123"/>
        <v>400</v>
      </c>
      <c r="I429" s="112">
        <v>400</v>
      </c>
      <c r="J429" s="57"/>
      <c r="K429" s="57"/>
      <c r="L429" s="57"/>
      <c r="M429" s="57"/>
      <c r="N429" s="57"/>
      <c r="O429" s="57"/>
      <c r="P429" s="68"/>
      <c r="Q429" s="58"/>
      <c r="R429" s="76"/>
      <c r="S429" s="76"/>
      <c r="T429" s="128"/>
    </row>
    <row r="430" spans="1:20" outlineLevel="1" x14ac:dyDescent="0.25">
      <c r="A430" s="4" t="s">
        <v>420</v>
      </c>
      <c r="B430" s="75" t="s">
        <v>285</v>
      </c>
      <c r="C430" s="25"/>
      <c r="D430" s="92">
        <v>8</v>
      </c>
      <c r="E430" s="110">
        <v>50</v>
      </c>
      <c r="F430" s="93">
        <f>D430*E430</f>
        <v>400</v>
      </c>
      <c r="G430" s="74">
        <f t="shared" si="119"/>
        <v>0</v>
      </c>
      <c r="H430" s="95">
        <f t="shared" si="123"/>
        <v>400</v>
      </c>
      <c r="I430" s="112">
        <v>400</v>
      </c>
      <c r="J430" s="57"/>
      <c r="K430" s="57"/>
      <c r="L430" s="57"/>
      <c r="M430" s="57"/>
      <c r="N430" s="57"/>
      <c r="O430" s="57"/>
      <c r="P430" s="68"/>
      <c r="Q430" s="58"/>
      <c r="R430" s="76"/>
      <c r="S430" s="76"/>
      <c r="T430" s="128"/>
    </row>
    <row r="431" spans="1:20" outlineLevel="1" x14ac:dyDescent="0.25">
      <c r="A431" s="4" t="s">
        <v>421</v>
      </c>
      <c r="B431" s="75" t="s">
        <v>47</v>
      </c>
      <c r="C431" s="25"/>
      <c r="D431" s="92"/>
      <c r="E431" s="110"/>
      <c r="F431" s="93">
        <f>D431*E431</f>
        <v>0</v>
      </c>
      <c r="G431" s="74">
        <f t="shared" si="119"/>
        <v>0</v>
      </c>
      <c r="H431" s="95">
        <f t="shared" si="123"/>
        <v>0</v>
      </c>
      <c r="I431" s="112"/>
      <c r="J431" s="57"/>
      <c r="K431" s="57"/>
      <c r="L431" s="57"/>
      <c r="M431" s="57"/>
      <c r="N431" s="57"/>
      <c r="O431" s="57"/>
      <c r="P431" s="68"/>
      <c r="Q431" s="58"/>
      <c r="R431" s="76"/>
      <c r="S431" s="76"/>
      <c r="T431" s="128"/>
    </row>
    <row r="432" spans="1:20" s="3" customFormat="1" ht="15.75" x14ac:dyDescent="0.25">
      <c r="A432" s="7" t="s">
        <v>422</v>
      </c>
      <c r="B432" s="13" t="s">
        <v>248</v>
      </c>
      <c r="C432" s="23"/>
      <c r="D432" s="24"/>
      <c r="E432" s="17"/>
      <c r="F432" s="82">
        <f>SUM(F433:F435)</f>
        <v>15000</v>
      </c>
      <c r="G432" s="89">
        <f t="shared" ref="G432:G484" si="135">H432-F432</f>
        <v>0</v>
      </c>
      <c r="H432" s="18">
        <f t="shared" si="123"/>
        <v>15000</v>
      </c>
      <c r="I432" s="54">
        <f t="shared" ref="I432:Q432" si="136">SUM(I433:I435)</f>
        <v>2500</v>
      </c>
      <c r="J432" s="55">
        <f t="shared" si="136"/>
        <v>10000</v>
      </c>
      <c r="K432" s="55">
        <f t="shared" si="136"/>
        <v>2500</v>
      </c>
      <c r="L432" s="55">
        <f t="shared" si="136"/>
        <v>0</v>
      </c>
      <c r="M432" s="55">
        <f t="shared" si="136"/>
        <v>0</v>
      </c>
      <c r="N432" s="55">
        <f t="shared" si="136"/>
        <v>0</v>
      </c>
      <c r="O432" s="55">
        <f t="shared" si="136"/>
        <v>0</v>
      </c>
      <c r="P432" s="55">
        <f t="shared" si="136"/>
        <v>0</v>
      </c>
      <c r="Q432" s="56">
        <f t="shared" si="136"/>
        <v>0</v>
      </c>
      <c r="R432" s="33">
        <v>8592</v>
      </c>
      <c r="S432" s="33">
        <f>2650.07+7099.04+106.2+3007.44</f>
        <v>12862.750000000002</v>
      </c>
      <c r="T432" s="127">
        <f>S432*100/R432</f>
        <v>149.70612197392927</v>
      </c>
    </row>
    <row r="433" spans="1:20" outlineLevel="1" x14ac:dyDescent="0.25">
      <c r="A433" s="4" t="s">
        <v>423</v>
      </c>
      <c r="B433" s="75" t="s">
        <v>836</v>
      </c>
      <c r="C433" s="25"/>
      <c r="D433" s="92">
        <v>1</v>
      </c>
      <c r="E433" s="110">
        <v>12500</v>
      </c>
      <c r="F433" s="93">
        <f>D433*E433</f>
        <v>12500</v>
      </c>
      <c r="G433" s="74">
        <f t="shared" si="135"/>
        <v>0</v>
      </c>
      <c r="H433" s="95">
        <f t="shared" si="123"/>
        <v>12500</v>
      </c>
      <c r="I433" s="112"/>
      <c r="J433" s="57">
        <v>10000</v>
      </c>
      <c r="K433" s="57">
        <v>2500</v>
      </c>
      <c r="L433" s="57"/>
      <c r="M433" s="57"/>
      <c r="N433" s="57"/>
      <c r="O433" s="57"/>
      <c r="P433" s="68"/>
      <c r="Q433" s="58"/>
      <c r="R433" s="76"/>
      <c r="S433" s="76"/>
      <c r="T433" s="128"/>
    </row>
    <row r="434" spans="1:20" outlineLevel="1" x14ac:dyDescent="0.25">
      <c r="A434" s="4" t="s">
        <v>424</v>
      </c>
      <c r="B434" s="75" t="s">
        <v>837</v>
      </c>
      <c r="C434" s="25"/>
      <c r="D434" s="92">
        <v>1</v>
      </c>
      <c r="E434" s="110">
        <v>2500</v>
      </c>
      <c r="F434" s="93">
        <f>D434*E434</f>
        <v>2500</v>
      </c>
      <c r="G434" s="74">
        <f t="shared" si="135"/>
        <v>0</v>
      </c>
      <c r="H434" s="95">
        <f t="shared" si="123"/>
        <v>2500</v>
      </c>
      <c r="I434" s="112">
        <v>2500</v>
      </c>
      <c r="J434" s="57"/>
      <c r="K434" s="57"/>
      <c r="L434" s="57"/>
      <c r="M434" s="57"/>
      <c r="N434" s="57"/>
      <c r="O434" s="57"/>
      <c r="P434" s="68"/>
      <c r="Q434" s="58"/>
      <c r="R434" s="76"/>
      <c r="S434" s="76"/>
      <c r="T434" s="128"/>
    </row>
    <row r="435" spans="1:20" outlineLevel="1" x14ac:dyDescent="0.25">
      <c r="A435" s="4" t="s">
        <v>425</v>
      </c>
      <c r="B435" s="75" t="s">
        <v>47</v>
      </c>
      <c r="C435" s="25"/>
      <c r="D435" s="92"/>
      <c r="E435" s="110"/>
      <c r="F435" s="93">
        <f>D435*E435</f>
        <v>0</v>
      </c>
      <c r="G435" s="74">
        <f t="shared" si="135"/>
        <v>0</v>
      </c>
      <c r="H435" s="95">
        <f t="shared" si="123"/>
        <v>0</v>
      </c>
      <c r="I435" s="112"/>
      <c r="J435" s="57"/>
      <c r="K435" s="57"/>
      <c r="L435" s="57"/>
      <c r="M435" s="57"/>
      <c r="N435" s="57"/>
      <c r="O435" s="57"/>
      <c r="P435" s="68"/>
      <c r="Q435" s="58"/>
      <c r="R435" s="76"/>
      <c r="S435" s="76"/>
      <c r="T435" s="128"/>
    </row>
    <row r="436" spans="1:20" s="3" customFormat="1" ht="15.75" x14ac:dyDescent="0.25">
      <c r="A436" s="7" t="s">
        <v>426</v>
      </c>
      <c r="B436" s="13" t="s">
        <v>137</v>
      </c>
      <c r="C436" s="23"/>
      <c r="D436" s="24"/>
      <c r="E436" s="17"/>
      <c r="F436" s="82">
        <f>SUM(F437:F439)</f>
        <v>63000</v>
      </c>
      <c r="G436" s="89">
        <f t="shared" si="135"/>
        <v>0</v>
      </c>
      <c r="H436" s="18">
        <f t="shared" si="123"/>
        <v>63000</v>
      </c>
      <c r="I436" s="54">
        <f t="shared" ref="I436:Q436" si="137">SUM(I437:I439)</f>
        <v>6000</v>
      </c>
      <c r="J436" s="55">
        <f t="shared" si="137"/>
        <v>5000</v>
      </c>
      <c r="K436" s="55">
        <f t="shared" si="137"/>
        <v>39500</v>
      </c>
      <c r="L436" s="55">
        <f t="shared" si="137"/>
        <v>0</v>
      </c>
      <c r="M436" s="55">
        <f t="shared" si="137"/>
        <v>0</v>
      </c>
      <c r="N436" s="55">
        <f t="shared" si="137"/>
        <v>2500</v>
      </c>
      <c r="O436" s="55">
        <f t="shared" si="137"/>
        <v>10000</v>
      </c>
      <c r="P436" s="55">
        <f t="shared" si="137"/>
        <v>0</v>
      </c>
      <c r="Q436" s="56">
        <f t="shared" si="137"/>
        <v>0</v>
      </c>
      <c r="R436" s="33">
        <v>95005</v>
      </c>
      <c r="S436" s="33">
        <f>17223.82+2620.17+1705.59+608.92+472.15+32.4+334.64+478.84+1074.52+232.15+1403.79+6662.31+8482.95+500+12781.44+1345.5+6739.46</f>
        <v>62698.65</v>
      </c>
      <c r="T436" s="127">
        <f>S436*100/R436</f>
        <v>65.995105520762067</v>
      </c>
    </row>
    <row r="437" spans="1:20" outlineLevel="1" x14ac:dyDescent="0.25">
      <c r="A437" s="4" t="s">
        <v>427</v>
      </c>
      <c r="B437" s="75" t="s">
        <v>141</v>
      </c>
      <c r="C437" s="25"/>
      <c r="D437" s="92">
        <v>1</v>
      </c>
      <c r="E437" s="110">
        <v>41500</v>
      </c>
      <c r="F437" s="86">
        <f>D437*E437</f>
        <v>41500</v>
      </c>
      <c r="G437" s="74">
        <f t="shared" si="135"/>
        <v>0</v>
      </c>
      <c r="H437" s="95">
        <f t="shared" si="123"/>
        <v>41500</v>
      </c>
      <c r="I437" s="112">
        <v>3000</v>
      </c>
      <c r="J437" s="57">
        <v>5000</v>
      </c>
      <c r="K437" s="57">
        <f>30000*0.95-7500</f>
        <v>21000</v>
      </c>
      <c r="L437" s="57"/>
      <c r="M437" s="57"/>
      <c r="N437" s="57">
        <v>2500</v>
      </c>
      <c r="O437" s="57">
        <v>10000</v>
      </c>
      <c r="P437" s="68"/>
      <c r="Q437" s="58"/>
      <c r="R437" s="76"/>
      <c r="S437" s="76"/>
      <c r="T437" s="128"/>
    </row>
    <row r="438" spans="1:20" outlineLevel="1" x14ac:dyDescent="0.25">
      <c r="A438" s="6" t="s">
        <v>428</v>
      </c>
      <c r="B438" s="75" t="s">
        <v>140</v>
      </c>
      <c r="C438" s="25"/>
      <c r="D438" s="92">
        <v>1</v>
      </c>
      <c r="E438" s="110">
        <v>21500</v>
      </c>
      <c r="F438" s="86">
        <f>D438*E438</f>
        <v>21500</v>
      </c>
      <c r="G438" s="74">
        <f t="shared" si="135"/>
        <v>0</v>
      </c>
      <c r="H438" s="95">
        <f t="shared" si="123"/>
        <v>21500</v>
      </c>
      <c r="I438" s="112">
        <f>E26</f>
        <v>3000</v>
      </c>
      <c r="J438" s="57"/>
      <c r="K438" s="57">
        <f>30000*0.95-7500-2500</f>
        <v>18500</v>
      </c>
      <c r="L438" s="57"/>
      <c r="M438" s="57"/>
      <c r="N438" s="57"/>
      <c r="O438" s="57"/>
      <c r="P438" s="68"/>
      <c r="Q438" s="58"/>
      <c r="R438" s="76"/>
      <c r="S438" s="76"/>
      <c r="T438" s="128"/>
    </row>
    <row r="439" spans="1:20" outlineLevel="1" x14ac:dyDescent="0.25">
      <c r="A439" s="4" t="s">
        <v>433</v>
      </c>
      <c r="B439" s="75" t="s">
        <v>47</v>
      </c>
      <c r="C439" s="25"/>
      <c r="D439" s="92"/>
      <c r="E439" s="110"/>
      <c r="F439" s="86">
        <f>D439*E439</f>
        <v>0</v>
      </c>
      <c r="G439" s="74">
        <f t="shared" si="135"/>
        <v>0</v>
      </c>
      <c r="H439" s="95">
        <f t="shared" si="123"/>
        <v>0</v>
      </c>
      <c r="I439" s="112"/>
      <c r="J439" s="57"/>
      <c r="K439" s="57"/>
      <c r="L439" s="57"/>
      <c r="M439" s="57"/>
      <c r="N439" s="57"/>
      <c r="O439" s="57"/>
      <c r="P439" s="68"/>
      <c r="Q439" s="58"/>
      <c r="R439" s="76"/>
      <c r="S439" s="76"/>
      <c r="T439" s="128"/>
    </row>
    <row r="440" spans="1:20" s="3" customFormat="1" ht="15.75" x14ac:dyDescent="0.25">
      <c r="A440" s="7" t="s">
        <v>429</v>
      </c>
      <c r="B440" s="13" t="s">
        <v>250</v>
      </c>
      <c r="C440" s="23"/>
      <c r="D440" s="24"/>
      <c r="E440" s="17"/>
      <c r="F440" s="82">
        <f>SUM(F441:F443)</f>
        <v>7230</v>
      </c>
      <c r="G440" s="89">
        <f t="shared" si="135"/>
        <v>0</v>
      </c>
      <c r="H440" s="18">
        <f t="shared" si="123"/>
        <v>7230</v>
      </c>
      <c r="I440" s="54">
        <f t="shared" ref="I440:Q440" si="138">SUM(I441:I443)</f>
        <v>1770</v>
      </c>
      <c r="J440" s="55">
        <f t="shared" si="138"/>
        <v>0</v>
      </c>
      <c r="K440" s="55">
        <f t="shared" si="138"/>
        <v>3230</v>
      </c>
      <c r="L440" s="55">
        <f t="shared" si="138"/>
        <v>0</v>
      </c>
      <c r="M440" s="55">
        <f t="shared" si="138"/>
        <v>0</v>
      </c>
      <c r="N440" s="55">
        <f t="shared" si="138"/>
        <v>2230</v>
      </c>
      <c r="O440" s="55">
        <f t="shared" si="138"/>
        <v>0</v>
      </c>
      <c r="P440" s="55">
        <f t="shared" si="138"/>
        <v>0</v>
      </c>
      <c r="Q440" s="56">
        <f t="shared" si="138"/>
        <v>0</v>
      </c>
      <c r="R440" s="33">
        <v>8000</v>
      </c>
      <c r="S440" s="33">
        <f>5138.59-2830.15+2122.29+1530.31+760.94</f>
        <v>6721.98</v>
      </c>
      <c r="T440" s="127">
        <f>S440*100/R440</f>
        <v>84.024749999999997</v>
      </c>
    </row>
    <row r="441" spans="1:20" outlineLevel="1" x14ac:dyDescent="0.25">
      <c r="A441" s="4" t="s">
        <v>430</v>
      </c>
      <c r="B441" s="75" t="s">
        <v>893</v>
      </c>
      <c r="C441" s="25"/>
      <c r="D441" s="92">
        <v>1</v>
      </c>
      <c r="E441" s="110">
        <v>2230</v>
      </c>
      <c r="F441" s="93">
        <f>D441*E441</f>
        <v>2230</v>
      </c>
      <c r="G441" s="74">
        <f t="shared" si="135"/>
        <v>0</v>
      </c>
      <c r="H441" s="95">
        <f t="shared" si="123"/>
        <v>2230</v>
      </c>
      <c r="I441" s="112"/>
      <c r="J441" s="57"/>
      <c r="K441" s="57"/>
      <c r="L441" s="57"/>
      <c r="M441" s="57"/>
      <c r="N441" s="57">
        <v>2230</v>
      </c>
      <c r="O441" s="57"/>
      <c r="P441" s="68"/>
      <c r="Q441" s="58"/>
      <c r="R441" s="76"/>
      <c r="S441" s="76"/>
      <c r="T441" s="128"/>
    </row>
    <row r="442" spans="1:20" outlineLevel="1" x14ac:dyDescent="0.25">
      <c r="A442" s="4" t="s">
        <v>431</v>
      </c>
      <c r="B442" s="75" t="s">
        <v>142</v>
      </c>
      <c r="C442" s="25"/>
      <c r="D442" s="92">
        <v>1</v>
      </c>
      <c r="E442" s="110">
        <v>5000</v>
      </c>
      <c r="F442" s="93">
        <f>D442*E442</f>
        <v>5000</v>
      </c>
      <c r="G442" s="74">
        <f t="shared" si="135"/>
        <v>0</v>
      </c>
      <c r="H442" s="95">
        <f t="shared" si="123"/>
        <v>5000</v>
      </c>
      <c r="I442" s="112">
        <v>1770</v>
      </c>
      <c r="J442" s="57"/>
      <c r="K442" s="57">
        <f>3400*0.95</f>
        <v>3230</v>
      </c>
      <c r="L442" s="57"/>
      <c r="M442" s="57"/>
      <c r="N442" s="57"/>
      <c r="O442" s="57"/>
      <c r="P442" s="68"/>
      <c r="Q442" s="58"/>
      <c r="R442" s="76"/>
      <c r="S442" s="76"/>
      <c r="T442" s="128"/>
    </row>
    <row r="443" spans="1:20" outlineLevel="1" x14ac:dyDescent="0.25">
      <c r="A443" s="4" t="s">
        <v>432</v>
      </c>
      <c r="B443" s="75" t="s">
        <v>47</v>
      </c>
      <c r="C443" s="25"/>
      <c r="D443" s="92"/>
      <c r="E443" s="110"/>
      <c r="F443" s="93">
        <f>D443*E443</f>
        <v>0</v>
      </c>
      <c r="G443" s="74">
        <f t="shared" si="135"/>
        <v>0</v>
      </c>
      <c r="H443" s="95">
        <f t="shared" si="123"/>
        <v>0</v>
      </c>
      <c r="I443" s="112"/>
      <c r="J443" s="57"/>
      <c r="K443" s="57"/>
      <c r="L443" s="57"/>
      <c r="M443" s="57"/>
      <c r="N443" s="57"/>
      <c r="O443" s="57"/>
      <c r="P443" s="68"/>
      <c r="Q443" s="58"/>
      <c r="R443" s="76"/>
      <c r="S443" s="76"/>
      <c r="T443" s="128"/>
    </row>
    <row r="444" spans="1:20" s="3" customFormat="1" ht="15.75" x14ac:dyDescent="0.25">
      <c r="A444" s="7" t="s">
        <v>434</v>
      </c>
      <c r="B444" s="13" t="s">
        <v>495</v>
      </c>
      <c r="C444" s="23"/>
      <c r="D444" s="24"/>
      <c r="E444" s="17"/>
      <c r="F444" s="82">
        <f>SUM(F445:F445)</f>
        <v>20000</v>
      </c>
      <c r="G444" s="89">
        <f t="shared" si="135"/>
        <v>0</v>
      </c>
      <c r="H444" s="18">
        <f t="shared" ref="H444:H490" si="139">SUM(I444:Q444)</f>
        <v>20000</v>
      </c>
      <c r="I444" s="54">
        <f t="shared" ref="I444:Q444" si="140">SUM(I445:I445)</f>
        <v>0</v>
      </c>
      <c r="J444" s="55">
        <f t="shared" si="140"/>
        <v>2000</v>
      </c>
      <c r="K444" s="55">
        <f t="shared" si="140"/>
        <v>15000</v>
      </c>
      <c r="L444" s="55">
        <f t="shared" si="140"/>
        <v>0</v>
      </c>
      <c r="M444" s="55">
        <f t="shared" si="140"/>
        <v>0</v>
      </c>
      <c r="N444" s="55">
        <f t="shared" si="140"/>
        <v>3000</v>
      </c>
      <c r="O444" s="55">
        <f t="shared" si="140"/>
        <v>0</v>
      </c>
      <c r="P444" s="55">
        <f t="shared" si="140"/>
        <v>0</v>
      </c>
      <c r="Q444" s="56">
        <f t="shared" si="140"/>
        <v>0</v>
      </c>
      <c r="R444" s="33">
        <v>20000</v>
      </c>
      <c r="S444" s="33">
        <v>20000</v>
      </c>
      <c r="T444" s="127">
        <f>S444*100/R444</f>
        <v>100</v>
      </c>
    </row>
    <row r="445" spans="1:20" outlineLevel="1" x14ac:dyDescent="0.25">
      <c r="A445" s="4" t="s">
        <v>435</v>
      </c>
      <c r="B445" s="75" t="s">
        <v>495</v>
      </c>
      <c r="C445" s="25"/>
      <c r="D445" s="92">
        <v>1</v>
      </c>
      <c r="E445" s="110">
        <v>20000</v>
      </c>
      <c r="F445" s="93">
        <f>D445*E445</f>
        <v>20000</v>
      </c>
      <c r="G445" s="74">
        <f t="shared" si="135"/>
        <v>0</v>
      </c>
      <c r="H445" s="95">
        <f t="shared" si="139"/>
        <v>20000</v>
      </c>
      <c r="I445" s="112"/>
      <c r="J445" s="57">
        <v>2000</v>
      </c>
      <c r="K445" s="57">
        <v>15000</v>
      </c>
      <c r="L445" s="57"/>
      <c r="M445" s="57"/>
      <c r="N445" s="57">
        <v>3000</v>
      </c>
      <c r="O445" s="57"/>
      <c r="P445" s="68"/>
      <c r="Q445" s="58"/>
      <c r="R445" s="76"/>
      <c r="S445" s="76"/>
      <c r="T445" s="128"/>
    </row>
    <row r="446" spans="1:20" s="2" customFormat="1" ht="21" x14ac:dyDescent="0.35">
      <c r="A446" s="8" t="s">
        <v>436</v>
      </c>
      <c r="B446" s="12" t="s">
        <v>416</v>
      </c>
      <c r="C446" s="21"/>
      <c r="D446" s="22"/>
      <c r="E446" s="15"/>
      <c r="F446" s="84">
        <f>F447+F452+F456+F459+F462+F468+F471</f>
        <v>273497</v>
      </c>
      <c r="G446" s="89">
        <f t="shared" si="135"/>
        <v>7335.5275000000256</v>
      </c>
      <c r="H446" s="16">
        <f t="shared" si="139"/>
        <v>280832.52750000003</v>
      </c>
      <c r="I446" s="51">
        <f t="shared" ref="I446:Q446" si="141">I447+I452+I456+I459+I462+I468+I471</f>
        <v>2900</v>
      </c>
      <c r="J446" s="51">
        <f t="shared" si="141"/>
        <v>47525</v>
      </c>
      <c r="K446" s="51">
        <f t="shared" si="141"/>
        <v>108196.38249999999</v>
      </c>
      <c r="L446" s="51">
        <f t="shared" si="141"/>
        <v>108046.745</v>
      </c>
      <c r="M446" s="51">
        <f t="shared" si="141"/>
        <v>0</v>
      </c>
      <c r="N446" s="51">
        <f t="shared" si="141"/>
        <v>13000</v>
      </c>
      <c r="O446" s="51">
        <f t="shared" si="141"/>
        <v>400</v>
      </c>
      <c r="P446" s="51">
        <f t="shared" si="141"/>
        <v>0</v>
      </c>
      <c r="Q446" s="59">
        <f t="shared" si="141"/>
        <v>764.4</v>
      </c>
      <c r="R446" s="32">
        <f>+R447+R452+R456+R459+R462+R468+R471</f>
        <v>294026</v>
      </c>
      <c r="S446" s="32">
        <f>S447+S452+S456+S459+S462+S468+S471</f>
        <v>284290.51</v>
      </c>
      <c r="T446" s="126">
        <f>S446*100/R446</f>
        <v>96.688901661757811</v>
      </c>
    </row>
    <row r="447" spans="1:20" s="3" customFormat="1" ht="15.75" x14ac:dyDescent="0.25">
      <c r="A447" s="7" t="s">
        <v>438</v>
      </c>
      <c r="B447" s="13" t="s">
        <v>265</v>
      </c>
      <c r="C447" s="23"/>
      <c r="D447" s="24"/>
      <c r="E447" s="17"/>
      <c r="F447" s="82">
        <f>SUM(F448:F451)</f>
        <v>1000</v>
      </c>
      <c r="G447" s="89">
        <f t="shared" si="135"/>
        <v>0</v>
      </c>
      <c r="H447" s="18">
        <f t="shared" si="139"/>
        <v>1000</v>
      </c>
      <c r="I447" s="54">
        <f t="shared" ref="I447:Q447" si="142">SUM(I448:I451)</f>
        <v>1000</v>
      </c>
      <c r="J447" s="55">
        <f t="shared" si="142"/>
        <v>0</v>
      </c>
      <c r="K447" s="55">
        <f t="shared" si="142"/>
        <v>0</v>
      </c>
      <c r="L447" s="55">
        <f t="shared" si="142"/>
        <v>0</v>
      </c>
      <c r="M447" s="55">
        <f>SUM(M448:M451)</f>
        <v>0</v>
      </c>
      <c r="N447" s="55">
        <f t="shared" si="142"/>
        <v>0</v>
      </c>
      <c r="O447" s="55">
        <f t="shared" si="142"/>
        <v>0</v>
      </c>
      <c r="P447" s="55">
        <f t="shared" si="142"/>
        <v>0</v>
      </c>
      <c r="Q447" s="56">
        <f t="shared" si="142"/>
        <v>0</v>
      </c>
      <c r="R447" s="33">
        <v>700</v>
      </c>
      <c r="S447" s="33">
        <f>142.2+96.94</f>
        <v>239.14</v>
      </c>
      <c r="T447" s="127">
        <f>S447*100/R447</f>
        <v>34.162857142857142</v>
      </c>
    </row>
    <row r="448" spans="1:20" outlineLevel="1" x14ac:dyDescent="0.25">
      <c r="A448" s="5" t="s">
        <v>439</v>
      </c>
      <c r="B448" s="75" t="s">
        <v>281</v>
      </c>
      <c r="C448" s="25"/>
      <c r="D448" s="92">
        <v>1</v>
      </c>
      <c r="E448" s="110">
        <v>200</v>
      </c>
      <c r="F448" s="93">
        <f>D448*E448</f>
        <v>200</v>
      </c>
      <c r="G448" s="74">
        <f t="shared" si="135"/>
        <v>0</v>
      </c>
      <c r="H448" s="95">
        <f t="shared" si="139"/>
        <v>200</v>
      </c>
      <c r="I448" s="112">
        <v>200</v>
      </c>
      <c r="J448" s="57"/>
      <c r="K448" s="57"/>
      <c r="L448" s="57"/>
      <c r="M448" s="57"/>
      <c r="N448" s="57"/>
      <c r="O448" s="57"/>
      <c r="P448" s="68"/>
      <c r="Q448" s="58"/>
      <c r="R448" s="76"/>
      <c r="S448" s="76"/>
      <c r="T448" s="128"/>
    </row>
    <row r="449" spans="1:20" outlineLevel="1" x14ac:dyDescent="0.25">
      <c r="A449" s="4" t="s">
        <v>440</v>
      </c>
      <c r="B449" s="75" t="s">
        <v>309</v>
      </c>
      <c r="C449" s="25"/>
      <c r="D449" s="92">
        <v>4</v>
      </c>
      <c r="E449" s="110">
        <v>100</v>
      </c>
      <c r="F449" s="93">
        <f>D449*E449</f>
        <v>400</v>
      </c>
      <c r="G449" s="74">
        <f t="shared" si="135"/>
        <v>0</v>
      </c>
      <c r="H449" s="95">
        <f t="shared" si="139"/>
        <v>400</v>
      </c>
      <c r="I449" s="112">
        <v>400</v>
      </c>
      <c r="J449" s="57"/>
      <c r="K449" s="57"/>
      <c r="L449" s="57"/>
      <c r="M449" s="57"/>
      <c r="N449" s="57"/>
      <c r="O449" s="57"/>
      <c r="P449" s="68"/>
      <c r="Q449" s="58"/>
      <c r="R449" s="76"/>
      <c r="S449" s="76"/>
      <c r="T449" s="128"/>
    </row>
    <row r="450" spans="1:20" outlineLevel="1" x14ac:dyDescent="0.25">
      <c r="A450" s="4" t="s">
        <v>441</v>
      </c>
      <c r="B450" s="75" t="s">
        <v>285</v>
      </c>
      <c r="C450" s="25"/>
      <c r="D450" s="92">
        <v>4</v>
      </c>
      <c r="E450" s="110">
        <v>100</v>
      </c>
      <c r="F450" s="93">
        <f>D450*E450</f>
        <v>400</v>
      </c>
      <c r="G450" s="74">
        <f t="shared" si="135"/>
        <v>0</v>
      </c>
      <c r="H450" s="95">
        <f t="shared" si="139"/>
        <v>400</v>
      </c>
      <c r="I450" s="112">
        <v>400</v>
      </c>
      <c r="J450" s="57"/>
      <c r="K450" s="57"/>
      <c r="L450" s="57"/>
      <c r="M450" s="57"/>
      <c r="N450" s="57"/>
      <c r="O450" s="57"/>
      <c r="P450" s="68"/>
      <c r="Q450" s="58"/>
      <c r="R450" s="76"/>
      <c r="S450" s="76"/>
      <c r="T450" s="128"/>
    </row>
    <row r="451" spans="1:20" outlineLevel="1" x14ac:dyDescent="0.25">
      <c r="A451" s="4" t="s">
        <v>442</v>
      </c>
      <c r="B451" s="75" t="s">
        <v>47</v>
      </c>
      <c r="C451" s="25"/>
      <c r="D451" s="92">
        <v>0</v>
      </c>
      <c r="E451" s="110">
        <v>0</v>
      </c>
      <c r="F451" s="93">
        <f>D451*E451</f>
        <v>0</v>
      </c>
      <c r="G451" s="74">
        <f t="shared" si="135"/>
        <v>0</v>
      </c>
      <c r="H451" s="95">
        <f t="shared" si="139"/>
        <v>0</v>
      </c>
      <c r="I451" s="112">
        <f>F451</f>
        <v>0</v>
      </c>
      <c r="J451" s="57"/>
      <c r="K451" s="57"/>
      <c r="L451" s="57"/>
      <c r="M451" s="57"/>
      <c r="N451" s="57"/>
      <c r="O451" s="57"/>
      <c r="P451" s="68"/>
      <c r="Q451" s="58"/>
      <c r="R451" s="76"/>
      <c r="S451" s="76"/>
      <c r="T451" s="128"/>
    </row>
    <row r="452" spans="1:20" s="3" customFormat="1" ht="15.75" x14ac:dyDescent="0.25">
      <c r="A452" s="7" t="s">
        <v>443</v>
      </c>
      <c r="B452" s="13" t="s">
        <v>248</v>
      </c>
      <c r="C452" s="23"/>
      <c r="D452" s="24"/>
      <c r="E452" s="17"/>
      <c r="F452" s="82">
        <f>SUM(F453:F455)</f>
        <v>14000</v>
      </c>
      <c r="G452" s="89">
        <f t="shared" si="135"/>
        <v>0</v>
      </c>
      <c r="H452" s="18">
        <f t="shared" si="139"/>
        <v>14000</v>
      </c>
      <c r="I452" s="54">
        <f t="shared" ref="I452:Q452" si="143">SUM(I453:I455)</f>
        <v>0</v>
      </c>
      <c r="J452" s="55">
        <f t="shared" si="143"/>
        <v>14000</v>
      </c>
      <c r="K452" s="55">
        <f t="shared" si="143"/>
        <v>0</v>
      </c>
      <c r="L452" s="55">
        <f t="shared" si="143"/>
        <v>0</v>
      </c>
      <c r="M452" s="55">
        <f t="shared" si="143"/>
        <v>0</v>
      </c>
      <c r="N452" s="55">
        <f t="shared" si="143"/>
        <v>0</v>
      </c>
      <c r="O452" s="55">
        <f t="shared" si="143"/>
        <v>0</v>
      </c>
      <c r="P452" s="55">
        <f t="shared" si="143"/>
        <v>0</v>
      </c>
      <c r="Q452" s="56">
        <f t="shared" si="143"/>
        <v>0</v>
      </c>
      <c r="R452" s="33">
        <v>21146</v>
      </c>
      <c r="S452" s="33">
        <v>17009.509999999998</v>
      </c>
      <c r="T452" s="127">
        <f>S452*100/R452</f>
        <v>80.438428071502869</v>
      </c>
    </row>
    <row r="453" spans="1:20" outlineLevel="1" x14ac:dyDescent="0.25">
      <c r="A453" s="4" t="s">
        <v>444</v>
      </c>
      <c r="B453" s="75" t="s">
        <v>863</v>
      </c>
      <c r="C453" s="25"/>
      <c r="D453" s="92">
        <v>1</v>
      </c>
      <c r="E453" s="110">
        <v>3000</v>
      </c>
      <c r="F453" s="93">
        <f>D453*E453</f>
        <v>3000</v>
      </c>
      <c r="G453" s="74">
        <f t="shared" si="135"/>
        <v>0</v>
      </c>
      <c r="H453" s="95">
        <f t="shared" si="139"/>
        <v>3000</v>
      </c>
      <c r="I453" s="112"/>
      <c r="J453" s="57">
        <f>F453</f>
        <v>3000</v>
      </c>
      <c r="K453" s="57"/>
      <c r="L453" s="57"/>
      <c r="M453" s="57"/>
      <c r="N453" s="57"/>
      <c r="O453" s="57"/>
      <c r="P453" s="68"/>
      <c r="Q453" s="58"/>
      <c r="R453" s="76"/>
      <c r="S453" s="76"/>
      <c r="T453" s="128"/>
    </row>
    <row r="454" spans="1:20" outlineLevel="1" x14ac:dyDescent="0.25">
      <c r="A454" s="4" t="s">
        <v>445</v>
      </c>
      <c r="B454" s="75" t="s">
        <v>864</v>
      </c>
      <c r="C454" s="25"/>
      <c r="D454" s="92">
        <v>1</v>
      </c>
      <c r="E454" s="110">
        <v>7000</v>
      </c>
      <c r="F454" s="93">
        <f>D454*E454</f>
        <v>7000</v>
      </c>
      <c r="G454" s="74">
        <f t="shared" si="135"/>
        <v>0</v>
      </c>
      <c r="H454" s="95">
        <f t="shared" si="139"/>
        <v>7000</v>
      </c>
      <c r="I454" s="112"/>
      <c r="J454" s="57">
        <f>F454</f>
        <v>7000</v>
      </c>
      <c r="K454" s="57"/>
      <c r="L454" s="57"/>
      <c r="M454" s="57"/>
      <c r="N454" s="57"/>
      <c r="O454" s="57"/>
      <c r="P454" s="68"/>
      <c r="Q454" s="58"/>
      <c r="R454" s="76"/>
      <c r="S454" s="76"/>
      <c r="T454" s="128"/>
    </row>
    <row r="455" spans="1:20" outlineLevel="1" x14ac:dyDescent="0.25">
      <c r="A455" s="4" t="s">
        <v>446</v>
      </c>
      <c r="B455" s="75" t="s">
        <v>865</v>
      </c>
      <c r="C455" s="25"/>
      <c r="D455" s="92">
        <v>1</v>
      </c>
      <c r="E455" s="110">
        <v>4000</v>
      </c>
      <c r="F455" s="93">
        <f>D455*E455</f>
        <v>4000</v>
      </c>
      <c r="G455" s="74">
        <f t="shared" si="135"/>
        <v>0</v>
      </c>
      <c r="H455" s="95">
        <f t="shared" si="139"/>
        <v>4000</v>
      </c>
      <c r="I455" s="112"/>
      <c r="J455" s="57">
        <f>F455</f>
        <v>4000</v>
      </c>
      <c r="K455" s="57"/>
      <c r="L455" s="57"/>
      <c r="M455" s="57"/>
      <c r="N455" s="57"/>
      <c r="O455" s="57"/>
      <c r="P455" s="68"/>
      <c r="Q455" s="58"/>
      <c r="R455" s="76"/>
      <c r="S455" s="76"/>
      <c r="T455" s="128"/>
    </row>
    <row r="456" spans="1:20" s="3" customFormat="1" ht="15.75" x14ac:dyDescent="0.25">
      <c r="A456" s="7" t="s">
        <v>447</v>
      </c>
      <c r="B456" s="13" t="s">
        <v>656</v>
      </c>
      <c r="C456" s="23"/>
      <c r="D456" s="24"/>
      <c r="E456" s="17"/>
      <c r="F456" s="82">
        <f>SUM(F457:F458)</f>
        <v>60000</v>
      </c>
      <c r="G456" s="89">
        <f t="shared" si="135"/>
        <v>7334.8824999999924</v>
      </c>
      <c r="H456" s="18">
        <f t="shared" si="139"/>
        <v>67334.882499999992</v>
      </c>
      <c r="I456" s="54">
        <f t="shared" ref="I456:Q456" si="144">SUM(I457:I458)</f>
        <v>0</v>
      </c>
      <c r="J456" s="55">
        <f t="shared" si="144"/>
        <v>11400</v>
      </c>
      <c r="K456" s="55">
        <f t="shared" si="144"/>
        <v>36574.732499999998</v>
      </c>
      <c r="L456" s="55">
        <f t="shared" si="144"/>
        <v>19360.149999999998</v>
      </c>
      <c r="M456" s="55">
        <f t="shared" si="144"/>
        <v>0</v>
      </c>
      <c r="N456" s="55">
        <f t="shared" si="144"/>
        <v>0</v>
      </c>
      <c r="O456" s="55">
        <f t="shared" si="144"/>
        <v>0</v>
      </c>
      <c r="P456" s="55">
        <f t="shared" si="144"/>
        <v>0</v>
      </c>
      <c r="Q456" s="56">
        <f t="shared" si="144"/>
        <v>0</v>
      </c>
      <c r="R456" s="33">
        <f>50000+12000</f>
        <v>62000</v>
      </c>
      <c r="S456" s="33">
        <f>68282.85-5840.26</f>
        <v>62442.590000000004</v>
      </c>
      <c r="T456" s="127">
        <f>S456*100/R456</f>
        <v>100.71385483870968</v>
      </c>
    </row>
    <row r="457" spans="1:20" outlineLevel="1" x14ac:dyDescent="0.25">
      <c r="A457" s="4" t="s">
        <v>448</v>
      </c>
      <c r="B457" s="75" t="s">
        <v>862</v>
      </c>
      <c r="C457" s="25"/>
      <c r="D457" s="92">
        <v>1</v>
      </c>
      <c r="E457" s="110">
        <v>60000</v>
      </c>
      <c r="F457" s="93">
        <f>D457*E457</f>
        <v>60000</v>
      </c>
      <c r="G457" s="74">
        <f t="shared" si="135"/>
        <v>7334.8824999999924</v>
      </c>
      <c r="H457" s="95">
        <f t="shared" si="139"/>
        <v>67334.882499999992</v>
      </c>
      <c r="I457" s="112"/>
      <c r="J457" s="57">
        <f>12700-1300</f>
        <v>11400</v>
      </c>
      <c r="K457" s="57">
        <f>53591*0.95*0.85-4000-2000-700</f>
        <v>36574.732499999998</v>
      </c>
      <c r="L457" s="57">
        <f>26659*0.85-3300</f>
        <v>19360.149999999998</v>
      </c>
      <c r="M457" s="57"/>
      <c r="N457" s="57"/>
      <c r="O457" s="57"/>
      <c r="P457" s="68"/>
      <c r="Q457" s="58"/>
      <c r="R457" s="76"/>
      <c r="S457" s="76"/>
      <c r="T457" s="128"/>
    </row>
    <row r="458" spans="1:20" outlineLevel="1" x14ac:dyDescent="0.25">
      <c r="A458" s="4" t="s">
        <v>449</v>
      </c>
      <c r="B458" s="75" t="s">
        <v>47</v>
      </c>
      <c r="C458" s="25"/>
      <c r="D458" s="92"/>
      <c r="E458" s="110"/>
      <c r="F458" s="93">
        <f>D458*E458</f>
        <v>0</v>
      </c>
      <c r="G458" s="74">
        <f t="shared" si="135"/>
        <v>0</v>
      </c>
      <c r="H458" s="95">
        <f t="shared" si="139"/>
        <v>0</v>
      </c>
      <c r="I458" s="112"/>
      <c r="J458" s="57"/>
      <c r="K458" s="57"/>
      <c r="L458" s="57"/>
      <c r="M458" s="57"/>
      <c r="N458" s="57"/>
      <c r="O458" s="57"/>
      <c r="P458" s="68"/>
      <c r="Q458" s="58"/>
      <c r="R458" s="76"/>
      <c r="S458" s="76"/>
      <c r="T458" s="128"/>
    </row>
    <row r="459" spans="1:20" s="3" customFormat="1" ht="15.75" x14ac:dyDescent="0.25">
      <c r="A459" s="7" t="s">
        <v>450</v>
      </c>
      <c r="B459" s="13" t="s">
        <v>657</v>
      </c>
      <c r="C459" s="23"/>
      <c r="D459" s="24"/>
      <c r="E459" s="17"/>
      <c r="F459" s="82">
        <f>SUM(F460:F461)</f>
        <v>90000</v>
      </c>
      <c r="G459" s="89">
        <f t="shared" si="135"/>
        <v>-0.20500000000174623</v>
      </c>
      <c r="H459" s="18">
        <f t="shared" si="139"/>
        <v>89999.794999999998</v>
      </c>
      <c r="I459" s="54">
        <f t="shared" ref="I459:Q459" si="145">SUM(I460:I461)</f>
        <v>0</v>
      </c>
      <c r="J459" s="55">
        <f t="shared" si="145"/>
        <v>0</v>
      </c>
      <c r="K459" s="55">
        <f t="shared" si="145"/>
        <v>34807.25</v>
      </c>
      <c r="L459" s="55">
        <f t="shared" si="145"/>
        <v>55192.544999999998</v>
      </c>
      <c r="M459" s="55">
        <f t="shared" si="145"/>
        <v>0</v>
      </c>
      <c r="N459" s="55">
        <f t="shared" si="145"/>
        <v>0</v>
      </c>
      <c r="O459" s="55">
        <f t="shared" si="145"/>
        <v>0</v>
      </c>
      <c r="P459" s="55">
        <f t="shared" si="145"/>
        <v>0</v>
      </c>
      <c r="Q459" s="56">
        <f t="shared" si="145"/>
        <v>0</v>
      </c>
      <c r="R459" s="33">
        <f>85000+10000</f>
        <v>95000</v>
      </c>
      <c r="S459" s="33">
        <f>106611.76-7800.3</f>
        <v>98811.459999999992</v>
      </c>
      <c r="T459" s="127">
        <f>S459*100/R459</f>
        <v>104.01206315789474</v>
      </c>
    </row>
    <row r="460" spans="1:20" outlineLevel="1" x14ac:dyDescent="0.25">
      <c r="A460" s="4" t="s">
        <v>451</v>
      </c>
      <c r="B460" s="75" t="s">
        <v>862</v>
      </c>
      <c r="C460" s="25"/>
      <c r="D460" s="92">
        <v>1</v>
      </c>
      <c r="E460" s="110">
        <v>90000</v>
      </c>
      <c r="F460" s="93">
        <f>D460*E460</f>
        <v>90000</v>
      </c>
      <c r="G460" s="74">
        <f t="shared" si="135"/>
        <v>-0.20500000000174623</v>
      </c>
      <c r="H460" s="95">
        <f t="shared" si="139"/>
        <v>89999.794999999998</v>
      </c>
      <c r="I460" s="112"/>
      <c r="J460" s="57"/>
      <c r="K460" s="57">
        <f>62300*0.95*0.85-15500</f>
        <v>34807.25</v>
      </c>
      <c r="L460" s="57">
        <f>92653*0.9*0.85-15500-187</f>
        <v>55192.544999999998</v>
      </c>
      <c r="M460" s="57"/>
      <c r="N460" s="57"/>
      <c r="O460" s="57"/>
      <c r="P460" s="68"/>
      <c r="Q460" s="58"/>
      <c r="R460" s="76"/>
      <c r="S460" s="76"/>
      <c r="T460" s="128"/>
    </row>
    <row r="461" spans="1:20" outlineLevel="1" x14ac:dyDescent="0.25">
      <c r="A461" s="6" t="s">
        <v>452</v>
      </c>
      <c r="B461" s="75" t="s">
        <v>47</v>
      </c>
      <c r="C461" s="25"/>
      <c r="D461" s="92"/>
      <c r="E461" s="110"/>
      <c r="F461" s="93">
        <f>D461*E461</f>
        <v>0</v>
      </c>
      <c r="G461" s="74">
        <f t="shared" si="135"/>
        <v>0</v>
      </c>
      <c r="H461" s="95">
        <f t="shared" si="139"/>
        <v>0</v>
      </c>
      <c r="I461" s="112"/>
      <c r="J461" s="57"/>
      <c r="K461" s="57"/>
      <c r="L461" s="57"/>
      <c r="M461" s="57"/>
      <c r="N461" s="57"/>
      <c r="O461" s="57"/>
      <c r="P461" s="68"/>
      <c r="Q461" s="58"/>
      <c r="R461" s="76"/>
      <c r="S461" s="76"/>
      <c r="T461" s="128"/>
    </row>
    <row r="462" spans="1:20" s="3" customFormat="1" ht="15.75" x14ac:dyDescent="0.25">
      <c r="A462" s="7" t="s">
        <v>453</v>
      </c>
      <c r="B462" s="13" t="s">
        <v>286</v>
      </c>
      <c r="C462" s="23"/>
      <c r="D462" s="24"/>
      <c r="E462" s="17"/>
      <c r="F462" s="82">
        <f>SUM(F463:F467)</f>
        <v>74576</v>
      </c>
      <c r="G462" s="89">
        <f t="shared" si="135"/>
        <v>0.39999999999417923</v>
      </c>
      <c r="H462" s="18">
        <f t="shared" si="139"/>
        <v>74576.399999999994</v>
      </c>
      <c r="I462" s="54">
        <f t="shared" ref="I462:Q462" si="146">SUM(I463:I467)</f>
        <v>1900</v>
      </c>
      <c r="J462" s="55">
        <f t="shared" si="146"/>
        <v>21225</v>
      </c>
      <c r="K462" s="55">
        <f t="shared" si="146"/>
        <v>20300</v>
      </c>
      <c r="L462" s="55">
        <f t="shared" si="146"/>
        <v>16987</v>
      </c>
      <c r="M462" s="55">
        <f t="shared" si="146"/>
        <v>0</v>
      </c>
      <c r="N462" s="55">
        <f t="shared" si="146"/>
        <v>13000</v>
      </c>
      <c r="O462" s="55">
        <f t="shared" si="146"/>
        <v>400</v>
      </c>
      <c r="P462" s="55">
        <f t="shared" si="146"/>
        <v>0</v>
      </c>
      <c r="Q462" s="56">
        <f t="shared" si="146"/>
        <v>764.4</v>
      </c>
      <c r="R462" s="33">
        <v>79000</v>
      </c>
      <c r="S462" s="33">
        <f>20847.44+39997.96+6545.77+2216.65</f>
        <v>69607.819999999992</v>
      </c>
      <c r="T462" s="127">
        <f>S462*100/R462</f>
        <v>88.111164556962009</v>
      </c>
    </row>
    <row r="463" spans="1:20" outlineLevel="1" x14ac:dyDescent="0.25">
      <c r="A463" s="4" t="s">
        <v>454</v>
      </c>
      <c r="B463" s="75" t="s">
        <v>867</v>
      </c>
      <c r="C463" s="25"/>
      <c r="D463" s="92">
        <v>1</v>
      </c>
      <c r="E463" s="93">
        <v>24800</v>
      </c>
      <c r="F463" s="93">
        <f>D463*E463</f>
        <v>24800</v>
      </c>
      <c r="G463" s="74">
        <f t="shared" si="135"/>
        <v>0</v>
      </c>
      <c r="H463" s="95">
        <f t="shared" si="139"/>
        <v>24800</v>
      </c>
      <c r="I463" s="112"/>
      <c r="J463" s="57">
        <f>10700+7000-900</f>
        <v>16800</v>
      </c>
      <c r="K463" s="57">
        <f>4000+700</f>
        <v>4700</v>
      </c>
      <c r="L463" s="57">
        <v>3300</v>
      </c>
      <c r="M463" s="57"/>
      <c r="N463" s="57"/>
      <c r="O463" s="57"/>
      <c r="P463" s="68"/>
      <c r="Q463" s="58"/>
      <c r="R463" s="76"/>
      <c r="S463" s="76"/>
      <c r="T463" s="128"/>
    </row>
    <row r="464" spans="1:20" outlineLevel="1" x14ac:dyDescent="0.25">
      <c r="A464" s="4" t="s">
        <v>455</v>
      </c>
      <c r="B464" s="75" t="s">
        <v>868</v>
      </c>
      <c r="C464" s="25"/>
      <c r="D464" s="92">
        <v>1</v>
      </c>
      <c r="E464" s="93">
        <v>49012</v>
      </c>
      <c r="F464" s="93">
        <f>D464*E464</f>
        <v>49012</v>
      </c>
      <c r="G464" s="74">
        <f t="shared" si="135"/>
        <v>0</v>
      </c>
      <c r="H464" s="95">
        <f t="shared" si="139"/>
        <v>49012</v>
      </c>
      <c r="I464" s="112">
        <v>1900</v>
      </c>
      <c r="J464" s="57">
        <v>4425</v>
      </c>
      <c r="K464" s="57">
        <v>15600</v>
      </c>
      <c r="L464" s="57">
        <f>15687-2000</f>
        <v>13687</v>
      </c>
      <c r="M464" s="57"/>
      <c r="N464" s="57">
        <v>13000</v>
      </c>
      <c r="O464" s="57">
        <v>400</v>
      </c>
      <c r="P464" s="68"/>
      <c r="Q464" s="58"/>
      <c r="R464" s="76"/>
      <c r="S464" s="76"/>
      <c r="T464" s="128"/>
    </row>
    <row r="465" spans="1:20" outlineLevel="1" x14ac:dyDescent="0.25">
      <c r="A465" s="4" t="s">
        <v>658</v>
      </c>
      <c r="B465" s="75" t="s">
        <v>982</v>
      </c>
      <c r="C465" s="25"/>
      <c r="D465" s="92">
        <v>1</v>
      </c>
      <c r="E465" s="93">
        <v>382</v>
      </c>
      <c r="F465" s="93">
        <f>D465*E465</f>
        <v>382</v>
      </c>
      <c r="G465" s="74">
        <f t="shared" si="135"/>
        <v>0.39999999999997726</v>
      </c>
      <c r="H465" s="95">
        <f t="shared" si="139"/>
        <v>382.4</v>
      </c>
      <c r="I465" s="112"/>
      <c r="J465" s="57"/>
      <c r="K465" s="57"/>
      <c r="L465" s="57"/>
      <c r="M465" s="57"/>
      <c r="N465" s="57"/>
      <c r="O465" s="57"/>
      <c r="P465" s="68"/>
      <c r="Q465" s="58">
        <v>382.4</v>
      </c>
      <c r="R465" s="76"/>
      <c r="S465" s="76"/>
      <c r="T465" s="128"/>
    </row>
    <row r="466" spans="1:20" outlineLevel="1" x14ac:dyDescent="0.25">
      <c r="A466" s="4" t="s">
        <v>659</v>
      </c>
      <c r="B466" s="75" t="s">
        <v>983</v>
      </c>
      <c r="C466" s="25"/>
      <c r="D466" s="92">
        <v>1</v>
      </c>
      <c r="E466" s="93">
        <v>382</v>
      </c>
      <c r="F466" s="93">
        <f>D466*E466</f>
        <v>382</v>
      </c>
      <c r="G466" s="74">
        <f t="shared" si="135"/>
        <v>0</v>
      </c>
      <c r="H466" s="95">
        <f t="shared" si="139"/>
        <v>382</v>
      </c>
      <c r="I466" s="112"/>
      <c r="J466" s="57"/>
      <c r="K466" s="57"/>
      <c r="L466" s="57"/>
      <c r="M466" s="57"/>
      <c r="N466" s="57"/>
      <c r="O466" s="57"/>
      <c r="P466" s="68"/>
      <c r="Q466" s="58">
        <v>382</v>
      </c>
      <c r="R466" s="76"/>
      <c r="S466" s="76"/>
      <c r="T466" s="128"/>
    </row>
    <row r="467" spans="1:20" outlineLevel="1" x14ac:dyDescent="0.25">
      <c r="A467" s="4" t="s">
        <v>660</v>
      </c>
      <c r="B467" s="75" t="s">
        <v>47</v>
      </c>
      <c r="C467" s="25"/>
      <c r="D467" s="92"/>
      <c r="E467" s="93"/>
      <c r="F467" s="93">
        <f>D467*E467</f>
        <v>0</v>
      </c>
      <c r="G467" s="74">
        <f t="shared" si="135"/>
        <v>0</v>
      </c>
      <c r="H467" s="95">
        <f t="shared" si="139"/>
        <v>0</v>
      </c>
      <c r="I467" s="112"/>
      <c r="J467" s="57"/>
      <c r="K467" s="57"/>
      <c r="L467" s="57"/>
      <c r="M467" s="57"/>
      <c r="N467" s="57"/>
      <c r="O467" s="57"/>
      <c r="P467" s="68"/>
      <c r="Q467" s="58"/>
      <c r="R467" s="76"/>
      <c r="S467" s="76"/>
      <c r="T467" s="128"/>
    </row>
    <row r="468" spans="1:20" s="3" customFormat="1" ht="15.75" x14ac:dyDescent="0.25">
      <c r="A468" s="7" t="s">
        <v>661</v>
      </c>
      <c r="B468" s="13" t="s">
        <v>250</v>
      </c>
      <c r="C468" s="23"/>
      <c r="D468" s="24"/>
      <c r="E468" s="17"/>
      <c r="F468" s="82">
        <f>SUM(F469:F470)</f>
        <v>900</v>
      </c>
      <c r="G468" s="89">
        <f t="shared" si="135"/>
        <v>0</v>
      </c>
      <c r="H468" s="18">
        <f t="shared" si="139"/>
        <v>900</v>
      </c>
      <c r="I468" s="54">
        <f>SUM(I469:I470)</f>
        <v>0</v>
      </c>
      <c r="J468" s="55">
        <f>SUM(J469:J470)</f>
        <v>900</v>
      </c>
      <c r="K468" s="55">
        <f>SUM(K469:K470)</f>
        <v>0</v>
      </c>
      <c r="L468" s="55"/>
      <c r="M468" s="55"/>
      <c r="N468" s="55">
        <f>SUM(N469:N470)</f>
        <v>0</v>
      </c>
      <c r="O468" s="55">
        <f>SUM(O469:O470)</f>
        <v>0</v>
      </c>
      <c r="P468" s="55">
        <f>SUM(P469:P470)</f>
        <v>0</v>
      </c>
      <c r="Q468" s="56">
        <f>SUM(Q469:Q470)</f>
        <v>0</v>
      </c>
      <c r="R468" s="33">
        <v>900</v>
      </c>
      <c r="S468" s="33">
        <v>900</v>
      </c>
      <c r="T468" s="127">
        <f>S468*100/R468</f>
        <v>100</v>
      </c>
    </row>
    <row r="469" spans="1:20" outlineLevel="1" x14ac:dyDescent="0.25">
      <c r="A469" s="4" t="s">
        <v>662</v>
      </c>
      <c r="B469" s="75" t="s">
        <v>866</v>
      </c>
      <c r="C469" s="25"/>
      <c r="D469" s="92">
        <v>1</v>
      </c>
      <c r="E469" s="93">
        <v>900</v>
      </c>
      <c r="F469" s="93">
        <f>D469*E469</f>
        <v>900</v>
      </c>
      <c r="G469" s="74">
        <f t="shared" si="135"/>
        <v>0</v>
      </c>
      <c r="H469" s="95">
        <f t="shared" si="139"/>
        <v>900</v>
      </c>
      <c r="I469" s="112"/>
      <c r="J469" s="57">
        <v>900</v>
      </c>
      <c r="K469" s="57"/>
      <c r="L469" s="57"/>
      <c r="M469" s="57"/>
      <c r="N469" s="57"/>
      <c r="O469" s="57"/>
      <c r="P469" s="68"/>
      <c r="Q469" s="58"/>
      <c r="R469" s="76"/>
      <c r="S469" s="76"/>
      <c r="T469" s="128"/>
    </row>
    <row r="470" spans="1:20" outlineLevel="1" x14ac:dyDescent="0.25">
      <c r="A470" s="4" t="s">
        <v>663</v>
      </c>
      <c r="B470" s="75" t="s">
        <v>47</v>
      </c>
      <c r="C470" s="25"/>
      <c r="D470" s="92"/>
      <c r="E470" s="93"/>
      <c r="F470" s="93">
        <f>D470*E470</f>
        <v>0</v>
      </c>
      <c r="G470" s="74">
        <f t="shared" si="135"/>
        <v>0</v>
      </c>
      <c r="H470" s="95">
        <f t="shared" si="139"/>
        <v>0</v>
      </c>
      <c r="I470" s="112"/>
      <c r="J470" s="57"/>
      <c r="K470" s="57"/>
      <c r="L470" s="57"/>
      <c r="M470" s="57"/>
      <c r="N470" s="57"/>
      <c r="O470" s="57"/>
      <c r="P470" s="68"/>
      <c r="Q470" s="58"/>
      <c r="R470" s="76"/>
      <c r="S470" s="76"/>
      <c r="T470" s="128"/>
    </row>
    <row r="471" spans="1:20" s="3" customFormat="1" ht="15.75" x14ac:dyDescent="0.25">
      <c r="A471" s="7" t="s">
        <v>664</v>
      </c>
      <c r="B471" s="13" t="s">
        <v>495</v>
      </c>
      <c r="C471" s="23"/>
      <c r="D471" s="24"/>
      <c r="E471" s="82"/>
      <c r="F471" s="82">
        <f>SUM(F472:F472)</f>
        <v>33021</v>
      </c>
      <c r="G471" s="89">
        <f t="shared" si="135"/>
        <v>0.44999999999708962</v>
      </c>
      <c r="H471" s="18">
        <f t="shared" si="139"/>
        <v>33021.449999999997</v>
      </c>
      <c r="I471" s="54">
        <f t="shared" ref="I471:Q471" si="147">SUM(I472:I472)</f>
        <v>0</v>
      </c>
      <c r="J471" s="55">
        <f t="shared" si="147"/>
        <v>0</v>
      </c>
      <c r="K471" s="55">
        <f t="shared" si="147"/>
        <v>16514.399999999998</v>
      </c>
      <c r="L471" s="55">
        <f t="shared" si="147"/>
        <v>16507.05</v>
      </c>
      <c r="M471" s="55">
        <f t="shared" si="147"/>
        <v>0</v>
      </c>
      <c r="N471" s="55">
        <f t="shared" si="147"/>
        <v>0</v>
      </c>
      <c r="O471" s="55">
        <f t="shared" si="147"/>
        <v>0</v>
      </c>
      <c r="P471" s="55">
        <f t="shared" si="147"/>
        <v>0</v>
      </c>
      <c r="Q471" s="56">
        <f t="shared" si="147"/>
        <v>0</v>
      </c>
      <c r="R471" s="33">
        <v>35280</v>
      </c>
      <c r="S471" s="33">
        <v>35279.99</v>
      </c>
      <c r="T471" s="127">
        <f>S471*100/R471</f>
        <v>99.999971655328793</v>
      </c>
    </row>
    <row r="472" spans="1:20" outlineLevel="1" x14ac:dyDescent="0.25">
      <c r="A472" s="4" t="s">
        <v>665</v>
      </c>
      <c r="B472" s="75" t="s">
        <v>495</v>
      </c>
      <c r="C472" s="25"/>
      <c r="D472" s="92">
        <v>1</v>
      </c>
      <c r="E472" s="93">
        <v>33021</v>
      </c>
      <c r="F472" s="93">
        <f>D472*E472</f>
        <v>33021</v>
      </c>
      <c r="G472" s="74">
        <f t="shared" si="135"/>
        <v>0.44999999999708962</v>
      </c>
      <c r="H472" s="95">
        <f t="shared" si="139"/>
        <v>33021.449999999997</v>
      </c>
      <c r="I472" s="112"/>
      <c r="J472" s="57"/>
      <c r="K472" s="57">
        <f>+(59185+50911)*0.15</f>
        <v>16514.399999999998</v>
      </c>
      <c r="L472" s="57">
        <f>+(26659+83388)*0.15</f>
        <v>16507.05</v>
      </c>
      <c r="M472" s="57"/>
      <c r="N472" s="57"/>
      <c r="O472" s="57"/>
      <c r="P472" s="68"/>
      <c r="Q472" s="58"/>
      <c r="R472" s="76"/>
      <c r="S472" s="76"/>
      <c r="T472" s="128"/>
    </row>
    <row r="473" spans="1:20" s="2" customFormat="1" ht="21" x14ac:dyDescent="0.35">
      <c r="A473" s="8" t="s">
        <v>456</v>
      </c>
      <c r="B473" s="12" t="s">
        <v>437</v>
      </c>
      <c r="C473" s="21"/>
      <c r="D473" s="22"/>
      <c r="E473" s="15"/>
      <c r="F473" s="84">
        <f>F474+F479+F483+F486+F491</f>
        <v>16625</v>
      </c>
      <c r="G473" s="89">
        <f t="shared" si="135"/>
        <v>0</v>
      </c>
      <c r="H473" s="16">
        <f t="shared" si="139"/>
        <v>16625</v>
      </c>
      <c r="I473" s="51">
        <f t="shared" ref="I473:Q473" si="148">I474+I479+I483+I486+I491</f>
        <v>2950</v>
      </c>
      <c r="J473" s="51">
        <f t="shared" si="148"/>
        <v>11675</v>
      </c>
      <c r="K473" s="51">
        <f t="shared" si="148"/>
        <v>0</v>
      </c>
      <c r="L473" s="51">
        <f t="shared" si="148"/>
        <v>0</v>
      </c>
      <c r="M473" s="51">
        <f t="shared" si="148"/>
        <v>0</v>
      </c>
      <c r="N473" s="51">
        <f t="shared" si="148"/>
        <v>1000</v>
      </c>
      <c r="O473" s="51">
        <f t="shared" si="148"/>
        <v>0</v>
      </c>
      <c r="P473" s="51">
        <f t="shared" si="148"/>
        <v>0</v>
      </c>
      <c r="Q473" s="59">
        <f t="shared" si="148"/>
        <v>1000</v>
      </c>
      <c r="R473" s="32">
        <f>+R474+R479+R483+R486+R491</f>
        <v>10675</v>
      </c>
      <c r="S473" s="32">
        <f>S474+S479+S483+S486+S491</f>
        <v>14495.44</v>
      </c>
      <c r="T473" s="126">
        <f>S473*100/R473</f>
        <v>135.78866510538643</v>
      </c>
    </row>
    <row r="474" spans="1:20" s="3" customFormat="1" ht="15.75" x14ac:dyDescent="0.25">
      <c r="A474" s="7" t="s">
        <v>458</v>
      </c>
      <c r="B474" s="13" t="s">
        <v>265</v>
      </c>
      <c r="C474" s="23"/>
      <c r="D474" s="24"/>
      <c r="E474" s="17"/>
      <c r="F474" s="82">
        <f>SUM(F475:F478)</f>
        <v>950</v>
      </c>
      <c r="G474" s="89">
        <f t="shared" si="135"/>
        <v>0</v>
      </c>
      <c r="H474" s="18">
        <f t="shared" si="139"/>
        <v>950</v>
      </c>
      <c r="I474" s="54">
        <f t="shared" ref="I474:Q474" si="149">SUM(I475:I478)</f>
        <v>750</v>
      </c>
      <c r="J474" s="55">
        <f t="shared" si="149"/>
        <v>200</v>
      </c>
      <c r="K474" s="55">
        <f t="shared" si="149"/>
        <v>0</v>
      </c>
      <c r="L474" s="55">
        <f t="shared" si="149"/>
        <v>0</v>
      </c>
      <c r="M474" s="55">
        <f>SUM(M475:M478)</f>
        <v>0</v>
      </c>
      <c r="N474" s="55">
        <f t="shared" si="149"/>
        <v>0</v>
      </c>
      <c r="O474" s="55">
        <f t="shared" si="149"/>
        <v>0</v>
      </c>
      <c r="P474" s="55">
        <f t="shared" si="149"/>
        <v>0</v>
      </c>
      <c r="Q474" s="56">
        <f t="shared" si="149"/>
        <v>0</v>
      </c>
      <c r="R474" s="33">
        <v>600</v>
      </c>
      <c r="S474" s="33">
        <f>2569.64-460-184.95-888.16</f>
        <v>1036.5299999999997</v>
      </c>
      <c r="T474" s="127">
        <f>S474*100/R474</f>
        <v>172.75499999999994</v>
      </c>
    </row>
    <row r="475" spans="1:20" outlineLevel="1" x14ac:dyDescent="0.25">
      <c r="A475" s="5" t="s">
        <v>459</v>
      </c>
      <c r="B475" s="75" t="s">
        <v>281</v>
      </c>
      <c r="C475" s="25"/>
      <c r="D475" s="92">
        <v>1</v>
      </c>
      <c r="E475" s="110">
        <v>200</v>
      </c>
      <c r="F475" s="93">
        <f>D475*E475</f>
        <v>200</v>
      </c>
      <c r="G475" s="74">
        <f t="shared" si="135"/>
        <v>0</v>
      </c>
      <c r="H475" s="95">
        <f t="shared" si="139"/>
        <v>200</v>
      </c>
      <c r="I475" s="112">
        <v>200</v>
      </c>
      <c r="J475" s="57"/>
      <c r="K475" s="57"/>
      <c r="L475" s="57"/>
      <c r="M475" s="57"/>
      <c r="N475" s="57"/>
      <c r="O475" s="57"/>
      <c r="P475" s="68"/>
      <c r="Q475" s="58"/>
      <c r="R475" s="76"/>
      <c r="S475" s="76"/>
      <c r="T475" s="128"/>
    </row>
    <row r="476" spans="1:20" outlineLevel="1" x14ac:dyDescent="0.25">
      <c r="A476" s="4" t="s">
        <v>460</v>
      </c>
      <c r="B476" s="75" t="s">
        <v>309</v>
      </c>
      <c r="C476" s="25"/>
      <c r="D476" s="92">
        <v>4</v>
      </c>
      <c r="E476" s="110">
        <v>100</v>
      </c>
      <c r="F476" s="93">
        <f>D476*E476</f>
        <v>400</v>
      </c>
      <c r="G476" s="74">
        <f t="shared" si="135"/>
        <v>0</v>
      </c>
      <c r="H476" s="95">
        <f t="shared" si="139"/>
        <v>400</v>
      </c>
      <c r="I476" s="112">
        <v>400</v>
      </c>
      <c r="J476" s="57"/>
      <c r="K476" s="57"/>
      <c r="L476" s="57"/>
      <c r="M476" s="57"/>
      <c r="N476" s="57"/>
      <c r="O476" s="57"/>
      <c r="P476" s="68"/>
      <c r="Q476" s="58"/>
      <c r="R476" s="76"/>
      <c r="S476" s="76"/>
      <c r="T476" s="128"/>
    </row>
    <row r="477" spans="1:20" outlineLevel="1" x14ac:dyDescent="0.25">
      <c r="A477" s="4" t="s">
        <v>461</v>
      </c>
      <c r="B477" s="75" t="s">
        <v>285</v>
      </c>
      <c r="C477" s="25"/>
      <c r="D477" s="92">
        <v>1</v>
      </c>
      <c r="E477" s="110">
        <v>150</v>
      </c>
      <c r="F477" s="93">
        <f>D477*E477</f>
        <v>150</v>
      </c>
      <c r="G477" s="74">
        <f t="shared" si="135"/>
        <v>0</v>
      </c>
      <c r="H477" s="95">
        <f t="shared" si="139"/>
        <v>150</v>
      </c>
      <c r="I477" s="112">
        <v>150</v>
      </c>
      <c r="J477" s="57"/>
      <c r="K477" s="57"/>
      <c r="L477" s="57"/>
      <c r="M477" s="57"/>
      <c r="N477" s="57"/>
      <c r="O477" s="57"/>
      <c r="P477" s="68"/>
      <c r="Q477" s="58"/>
      <c r="R477" s="76"/>
      <c r="S477" s="76"/>
      <c r="T477" s="128"/>
    </row>
    <row r="478" spans="1:20" outlineLevel="1" x14ac:dyDescent="0.25">
      <c r="A478" s="4" t="s">
        <v>462</v>
      </c>
      <c r="B478" s="75" t="s">
        <v>47</v>
      </c>
      <c r="C478" s="25"/>
      <c r="D478" s="92">
        <v>1</v>
      </c>
      <c r="E478" s="110">
        <v>200</v>
      </c>
      <c r="F478" s="93">
        <f>D478*E478</f>
        <v>200</v>
      </c>
      <c r="G478" s="74">
        <f t="shared" si="135"/>
        <v>0</v>
      </c>
      <c r="H478" s="95">
        <f t="shared" si="139"/>
        <v>200</v>
      </c>
      <c r="I478" s="112"/>
      <c r="J478" s="57">
        <v>200</v>
      </c>
      <c r="K478" s="57"/>
      <c r="L478" s="57"/>
      <c r="M478" s="57"/>
      <c r="N478" s="57"/>
      <c r="O478" s="57"/>
      <c r="P478" s="68"/>
      <c r="Q478" s="58"/>
      <c r="R478" s="76"/>
      <c r="S478" s="76"/>
      <c r="T478" s="128"/>
    </row>
    <row r="479" spans="1:20" s="3" customFormat="1" ht="15.75" x14ac:dyDescent="0.25">
      <c r="A479" s="7" t="s">
        <v>463</v>
      </c>
      <c r="B479" s="13" t="s">
        <v>248</v>
      </c>
      <c r="C479" s="23"/>
      <c r="D479" s="24"/>
      <c r="E479" s="17"/>
      <c r="F479" s="82">
        <f>SUM(F480:F482)</f>
        <v>8550</v>
      </c>
      <c r="G479" s="89">
        <f t="shared" si="135"/>
        <v>0</v>
      </c>
      <c r="H479" s="18">
        <f t="shared" si="139"/>
        <v>8550</v>
      </c>
      <c r="I479" s="54">
        <f t="shared" ref="I479:Q479" si="150">SUM(I480:I482)</f>
        <v>0</v>
      </c>
      <c r="J479" s="55">
        <f t="shared" si="150"/>
        <v>8550</v>
      </c>
      <c r="K479" s="55">
        <f t="shared" si="150"/>
        <v>0</v>
      </c>
      <c r="L479" s="55">
        <f t="shared" si="150"/>
        <v>0</v>
      </c>
      <c r="M479" s="55">
        <f t="shared" si="150"/>
        <v>0</v>
      </c>
      <c r="N479" s="55">
        <f t="shared" si="150"/>
        <v>0</v>
      </c>
      <c r="O479" s="55">
        <f t="shared" si="150"/>
        <v>0</v>
      </c>
      <c r="P479" s="55">
        <f t="shared" si="150"/>
        <v>0</v>
      </c>
      <c r="Q479" s="56">
        <f t="shared" si="150"/>
        <v>0</v>
      </c>
      <c r="R479" s="33">
        <v>8000</v>
      </c>
      <c r="S479" s="33">
        <f>4789+4462.7</f>
        <v>9251.7000000000007</v>
      </c>
      <c r="T479" s="127">
        <f>S479*100/R479</f>
        <v>115.64625000000001</v>
      </c>
    </row>
    <row r="480" spans="1:20" outlineLevel="1" x14ac:dyDescent="0.25">
      <c r="A480" s="4" t="s">
        <v>464</v>
      </c>
      <c r="B480" s="75" t="s">
        <v>955</v>
      </c>
      <c r="C480" s="25"/>
      <c r="D480" s="92">
        <v>1</v>
      </c>
      <c r="E480" s="110">
        <v>5850</v>
      </c>
      <c r="F480" s="93">
        <f>D480*E480</f>
        <v>5850</v>
      </c>
      <c r="G480" s="74">
        <f t="shared" si="135"/>
        <v>0</v>
      </c>
      <c r="H480" s="95">
        <f t="shared" si="139"/>
        <v>5850</v>
      </c>
      <c r="I480" s="112"/>
      <c r="J480" s="57">
        <v>5850</v>
      </c>
      <c r="K480" s="57"/>
      <c r="L480" s="57"/>
      <c r="M480" s="57"/>
      <c r="N480" s="57"/>
      <c r="O480" s="57"/>
      <c r="P480" s="68"/>
      <c r="Q480" s="58"/>
      <c r="R480" s="76"/>
      <c r="S480" s="76"/>
      <c r="T480" s="128"/>
    </row>
    <row r="481" spans="1:20" outlineLevel="1" x14ac:dyDescent="0.25">
      <c r="A481" s="4" t="s">
        <v>465</v>
      </c>
      <c r="B481" s="75" t="s">
        <v>956</v>
      </c>
      <c r="C481" s="25"/>
      <c r="D481" s="92">
        <v>1</v>
      </c>
      <c r="E481" s="110">
        <v>2700</v>
      </c>
      <c r="F481" s="93">
        <f>D481*E481</f>
        <v>2700</v>
      </c>
      <c r="G481" s="74">
        <f t="shared" si="135"/>
        <v>0</v>
      </c>
      <c r="H481" s="95">
        <f t="shared" si="139"/>
        <v>2700</v>
      </c>
      <c r="I481" s="112"/>
      <c r="J481" s="57">
        <v>2700</v>
      </c>
      <c r="K481" s="57"/>
      <c r="L481" s="57"/>
      <c r="M481" s="57"/>
      <c r="N481" s="57"/>
      <c r="O481" s="57"/>
      <c r="P481" s="68"/>
      <c r="Q481" s="58"/>
      <c r="R481" s="76"/>
      <c r="S481" s="76"/>
      <c r="T481" s="128"/>
    </row>
    <row r="482" spans="1:20" outlineLevel="1" x14ac:dyDescent="0.25">
      <c r="A482" s="4" t="s">
        <v>466</v>
      </c>
      <c r="B482" s="75" t="s">
        <v>47</v>
      </c>
      <c r="C482" s="25"/>
      <c r="D482" s="92"/>
      <c r="E482" s="110"/>
      <c r="F482" s="93">
        <f>D482*E482</f>
        <v>0</v>
      </c>
      <c r="G482" s="74">
        <f t="shared" si="135"/>
        <v>0</v>
      </c>
      <c r="H482" s="95">
        <f t="shared" si="139"/>
        <v>0</v>
      </c>
      <c r="I482" s="112"/>
      <c r="J482" s="57"/>
      <c r="K482" s="57"/>
      <c r="L482" s="57"/>
      <c r="M482" s="57"/>
      <c r="N482" s="57"/>
      <c r="O482" s="57"/>
      <c r="P482" s="68"/>
      <c r="Q482" s="58"/>
      <c r="R482" s="76"/>
      <c r="S482" s="76"/>
      <c r="T482" s="128"/>
    </row>
    <row r="483" spans="1:20" s="3" customFormat="1" ht="15.75" x14ac:dyDescent="0.25">
      <c r="A483" s="7" t="s">
        <v>467</v>
      </c>
      <c r="B483" s="13" t="s">
        <v>814</v>
      </c>
      <c r="C483" s="23"/>
      <c r="D483" s="24"/>
      <c r="E483" s="17"/>
      <c r="F483" s="82">
        <f>SUM(F484:F485)</f>
        <v>475</v>
      </c>
      <c r="G483" s="89">
        <f t="shared" si="135"/>
        <v>0</v>
      </c>
      <c r="H483" s="18">
        <f t="shared" si="139"/>
        <v>475</v>
      </c>
      <c r="I483" s="54">
        <f t="shared" ref="I483:Q483" si="151">SUM(I484:I485)</f>
        <v>0</v>
      </c>
      <c r="J483" s="55">
        <f t="shared" si="151"/>
        <v>475</v>
      </c>
      <c r="K483" s="55">
        <f t="shared" si="151"/>
        <v>0</v>
      </c>
      <c r="L483" s="55">
        <f t="shared" si="151"/>
        <v>0</v>
      </c>
      <c r="M483" s="55">
        <f t="shared" si="151"/>
        <v>0</v>
      </c>
      <c r="N483" s="55">
        <f t="shared" si="151"/>
        <v>0</v>
      </c>
      <c r="O483" s="55">
        <f t="shared" si="151"/>
        <v>0</v>
      </c>
      <c r="P483" s="55">
        <f t="shared" si="151"/>
        <v>0</v>
      </c>
      <c r="Q483" s="56">
        <f t="shared" si="151"/>
        <v>0</v>
      </c>
      <c r="R483" s="33">
        <v>675</v>
      </c>
      <c r="S483" s="33">
        <f>659.62</f>
        <v>659.62</v>
      </c>
      <c r="T483" s="127">
        <f>S483*100/R483</f>
        <v>97.721481481481476</v>
      </c>
    </row>
    <row r="484" spans="1:20" outlineLevel="1" x14ac:dyDescent="0.25">
      <c r="A484" s="4" t="s">
        <v>468</v>
      </c>
      <c r="B484" s="75" t="s">
        <v>666</v>
      </c>
      <c r="C484" s="25"/>
      <c r="D484" s="92">
        <v>1</v>
      </c>
      <c r="E484" s="110">
        <v>475</v>
      </c>
      <c r="F484" s="93">
        <f>D484*E484</f>
        <v>475</v>
      </c>
      <c r="G484" s="74">
        <f t="shared" si="135"/>
        <v>0</v>
      </c>
      <c r="H484" s="95">
        <f t="shared" si="139"/>
        <v>475</v>
      </c>
      <c r="I484" s="112"/>
      <c r="J484" s="57">
        <v>475</v>
      </c>
      <c r="K484" s="57"/>
      <c r="L484" s="57"/>
      <c r="M484" s="57"/>
      <c r="N484" s="57"/>
      <c r="O484" s="57"/>
      <c r="P484" s="68"/>
      <c r="Q484" s="58"/>
      <c r="R484" s="76"/>
      <c r="S484" s="76"/>
      <c r="T484" s="128"/>
    </row>
    <row r="485" spans="1:20" outlineLevel="1" x14ac:dyDescent="0.25">
      <c r="A485" s="6" t="s">
        <v>469</v>
      </c>
      <c r="B485" s="75" t="s">
        <v>47</v>
      </c>
      <c r="C485" s="25"/>
      <c r="D485" s="92"/>
      <c r="E485" s="110"/>
      <c r="F485" s="93">
        <f>D485*E485</f>
        <v>0</v>
      </c>
      <c r="G485" s="74">
        <f t="shared" ref="G485:G568" si="152">H485-F485</f>
        <v>0</v>
      </c>
      <c r="H485" s="95">
        <f t="shared" si="139"/>
        <v>0</v>
      </c>
      <c r="I485" s="112"/>
      <c r="J485" s="57"/>
      <c r="K485" s="57"/>
      <c r="L485" s="57"/>
      <c r="M485" s="57"/>
      <c r="N485" s="57"/>
      <c r="O485" s="57"/>
      <c r="P485" s="68"/>
      <c r="Q485" s="58"/>
      <c r="R485" s="76"/>
      <c r="S485" s="76"/>
      <c r="T485" s="128"/>
    </row>
    <row r="486" spans="1:20" s="3" customFormat="1" ht="15.75" x14ac:dyDescent="0.25">
      <c r="A486" s="7" t="s">
        <v>470</v>
      </c>
      <c r="B486" s="13" t="s">
        <v>250</v>
      </c>
      <c r="C486" s="23"/>
      <c r="D486" s="24"/>
      <c r="E486" s="17"/>
      <c r="F486" s="82">
        <f>SUM(F487:F490)</f>
        <v>5700</v>
      </c>
      <c r="G486" s="89">
        <f t="shared" si="152"/>
        <v>0</v>
      </c>
      <c r="H486" s="18">
        <f t="shared" si="139"/>
        <v>5700</v>
      </c>
      <c r="I486" s="54">
        <f t="shared" ref="I486:Q486" si="153">SUM(I487:I490)</f>
        <v>2200</v>
      </c>
      <c r="J486" s="55">
        <f t="shared" si="153"/>
        <v>1500</v>
      </c>
      <c r="K486" s="55">
        <f t="shared" si="153"/>
        <v>0</v>
      </c>
      <c r="L486" s="55">
        <f t="shared" si="153"/>
        <v>0</v>
      </c>
      <c r="M486" s="55">
        <f t="shared" si="153"/>
        <v>0</v>
      </c>
      <c r="N486" s="55">
        <f t="shared" si="153"/>
        <v>1000</v>
      </c>
      <c r="O486" s="55">
        <f t="shared" si="153"/>
        <v>0</v>
      </c>
      <c r="P486" s="55">
        <f t="shared" si="153"/>
        <v>0</v>
      </c>
      <c r="Q486" s="56">
        <f t="shared" si="153"/>
        <v>1000</v>
      </c>
      <c r="R486" s="33">
        <v>1400</v>
      </c>
      <c r="S486" s="33">
        <f>2014.48+184.95+888.16+460</f>
        <v>3547.5899999999997</v>
      </c>
      <c r="T486" s="127">
        <f>S486*100/R486</f>
        <v>253.39928571428567</v>
      </c>
    </row>
    <row r="487" spans="1:20" outlineLevel="1" x14ac:dyDescent="0.25">
      <c r="A487" s="4" t="s">
        <v>471</v>
      </c>
      <c r="B487" s="75" t="s">
        <v>937</v>
      </c>
      <c r="C487" s="25"/>
      <c r="D487" s="92">
        <v>1</v>
      </c>
      <c r="E487" s="110">
        <v>1000</v>
      </c>
      <c r="F487" s="93">
        <f>D487*E487</f>
        <v>1000</v>
      </c>
      <c r="G487" s="74">
        <f t="shared" si="152"/>
        <v>0</v>
      </c>
      <c r="H487" s="95">
        <f t="shared" si="139"/>
        <v>1000</v>
      </c>
      <c r="I487" s="112"/>
      <c r="J487" s="57">
        <v>1000</v>
      </c>
      <c r="K487" s="57"/>
      <c r="L487" s="57"/>
      <c r="M487" s="57"/>
      <c r="N487" s="57"/>
      <c r="O487" s="57"/>
      <c r="P487" s="68"/>
      <c r="Q487" s="58"/>
      <c r="R487" s="76"/>
      <c r="S487" s="76"/>
      <c r="T487" s="128"/>
    </row>
    <row r="488" spans="1:20" outlineLevel="1" x14ac:dyDescent="0.25">
      <c r="A488" s="6" t="s">
        <v>472</v>
      </c>
      <c r="B488" s="75" t="s">
        <v>837</v>
      </c>
      <c r="C488" s="25"/>
      <c r="D488" s="92">
        <v>1</v>
      </c>
      <c r="E488" s="110">
        <v>200</v>
      </c>
      <c r="F488" s="93">
        <f>D488*E488</f>
        <v>200</v>
      </c>
      <c r="G488" s="74">
        <f t="shared" si="152"/>
        <v>0</v>
      </c>
      <c r="H488" s="95">
        <f t="shared" si="139"/>
        <v>200</v>
      </c>
      <c r="I488" s="112">
        <v>200</v>
      </c>
      <c r="J488" s="57"/>
      <c r="K488" s="57"/>
      <c r="L488" s="57"/>
      <c r="M488" s="57"/>
      <c r="N488" s="57"/>
      <c r="O488" s="57"/>
      <c r="P488" s="68"/>
      <c r="Q488" s="58"/>
      <c r="R488" s="76"/>
      <c r="S488" s="76"/>
      <c r="T488" s="128"/>
    </row>
    <row r="489" spans="1:20" outlineLevel="1" x14ac:dyDescent="0.25">
      <c r="A489" s="6" t="s">
        <v>473</v>
      </c>
      <c r="B489" s="75" t="s">
        <v>993</v>
      </c>
      <c r="C489" s="25"/>
      <c r="D489" s="92">
        <v>1</v>
      </c>
      <c r="E489" s="110">
        <v>4000</v>
      </c>
      <c r="F489" s="93">
        <f>D489*E489</f>
        <v>4000</v>
      </c>
      <c r="G489" s="74"/>
      <c r="H489" s="95">
        <f t="shared" si="139"/>
        <v>4000</v>
      </c>
      <c r="I489" s="112">
        <v>2000</v>
      </c>
      <c r="J489" s="57"/>
      <c r="K489" s="57"/>
      <c r="L489" s="57"/>
      <c r="M489" s="57"/>
      <c r="N489" s="57">
        <v>1000</v>
      </c>
      <c r="O489" s="57"/>
      <c r="P489" s="68"/>
      <c r="Q489" s="58">
        <v>1000</v>
      </c>
      <c r="R489" s="76"/>
      <c r="S489" s="76"/>
      <c r="T489" s="128"/>
    </row>
    <row r="490" spans="1:20" outlineLevel="1" x14ac:dyDescent="0.25">
      <c r="A490" s="4" t="s">
        <v>474</v>
      </c>
      <c r="B490" s="75" t="s">
        <v>47</v>
      </c>
      <c r="C490" s="25"/>
      <c r="D490" s="92">
        <v>1</v>
      </c>
      <c r="E490" s="110">
        <v>500</v>
      </c>
      <c r="F490" s="93">
        <f>D490*E490</f>
        <v>500</v>
      </c>
      <c r="G490" s="74">
        <f t="shared" si="152"/>
        <v>0</v>
      </c>
      <c r="H490" s="95">
        <f t="shared" si="139"/>
        <v>500</v>
      </c>
      <c r="I490" s="112"/>
      <c r="J490" s="57">
        <v>500</v>
      </c>
      <c r="K490" s="57"/>
      <c r="L490" s="57"/>
      <c r="M490" s="57"/>
      <c r="N490" s="57"/>
      <c r="O490" s="57"/>
      <c r="P490" s="68"/>
      <c r="Q490" s="58"/>
      <c r="R490" s="76"/>
      <c r="S490" s="76"/>
      <c r="T490" s="128"/>
    </row>
    <row r="491" spans="1:20" s="3" customFormat="1" ht="15.75" x14ac:dyDescent="0.25">
      <c r="A491" s="7" t="s">
        <v>475</v>
      </c>
      <c r="B491" s="13" t="s">
        <v>495</v>
      </c>
      <c r="C491" s="23"/>
      <c r="D491" s="24"/>
      <c r="E491" s="17"/>
      <c r="F491" s="82">
        <f>SUM(F492:F492)</f>
        <v>950</v>
      </c>
      <c r="G491" s="89">
        <f t="shared" si="152"/>
        <v>0</v>
      </c>
      <c r="H491" s="18">
        <f t="shared" ref="H491:H531" si="154">SUM(I491:Q491)</f>
        <v>950</v>
      </c>
      <c r="I491" s="54">
        <f t="shared" ref="I491:Q491" si="155">SUM(I492:I492)</f>
        <v>0</v>
      </c>
      <c r="J491" s="55">
        <f t="shared" si="155"/>
        <v>950</v>
      </c>
      <c r="K491" s="55">
        <f t="shared" si="155"/>
        <v>0</v>
      </c>
      <c r="L491" s="55">
        <f t="shared" si="155"/>
        <v>0</v>
      </c>
      <c r="M491" s="55">
        <f t="shared" si="155"/>
        <v>0</v>
      </c>
      <c r="N491" s="55">
        <f t="shared" si="155"/>
        <v>0</v>
      </c>
      <c r="O491" s="55">
        <f t="shared" si="155"/>
        <v>0</v>
      </c>
      <c r="P491" s="55">
        <f t="shared" si="155"/>
        <v>0</v>
      </c>
      <c r="Q491" s="56">
        <f t="shared" si="155"/>
        <v>0</v>
      </c>
      <c r="R491" s="33">
        <v>0</v>
      </c>
      <c r="S491" s="33">
        <f>SUM(S492:S492)</f>
        <v>0</v>
      </c>
      <c r="T491" s="127"/>
    </row>
    <row r="492" spans="1:20" outlineLevel="1" x14ac:dyDescent="0.25">
      <c r="A492" s="4" t="s">
        <v>494</v>
      </c>
      <c r="B492" s="75" t="s">
        <v>495</v>
      </c>
      <c r="C492" s="25"/>
      <c r="D492" s="92">
        <v>1</v>
      </c>
      <c r="E492" s="110">
        <v>950</v>
      </c>
      <c r="F492" s="93">
        <f>D492*E492</f>
        <v>950</v>
      </c>
      <c r="G492" s="74">
        <f t="shared" si="152"/>
        <v>0</v>
      </c>
      <c r="H492" s="95">
        <f t="shared" si="154"/>
        <v>950</v>
      </c>
      <c r="I492" s="112"/>
      <c r="J492" s="57">
        <v>950</v>
      </c>
      <c r="K492" s="57"/>
      <c r="L492" s="57"/>
      <c r="M492" s="57"/>
      <c r="N492" s="57"/>
      <c r="O492" s="57"/>
      <c r="P492" s="68"/>
      <c r="Q492" s="58"/>
      <c r="R492" s="76"/>
      <c r="S492" s="76"/>
      <c r="T492" s="128"/>
    </row>
    <row r="493" spans="1:20" s="2" customFormat="1" ht="21" x14ac:dyDescent="0.35">
      <c r="A493" s="8" t="s">
        <v>476</v>
      </c>
      <c r="B493" s="12" t="s">
        <v>457</v>
      </c>
      <c r="C493" s="21"/>
      <c r="D493" s="22"/>
      <c r="E493" s="15"/>
      <c r="F493" s="84">
        <f>F494+F499+F503+F505+F508</f>
        <v>8500</v>
      </c>
      <c r="G493" s="89">
        <f t="shared" si="152"/>
        <v>0</v>
      </c>
      <c r="H493" s="16">
        <f t="shared" si="154"/>
        <v>8500</v>
      </c>
      <c r="I493" s="51">
        <f t="shared" ref="I493:Q493" si="156">I494+I499+I503+I505+I508</f>
        <v>2500</v>
      </c>
      <c r="J493" s="51">
        <f t="shared" si="156"/>
        <v>6000</v>
      </c>
      <c r="K493" s="51">
        <f t="shared" si="156"/>
        <v>0</v>
      </c>
      <c r="L493" s="51">
        <f t="shared" si="156"/>
        <v>0</v>
      </c>
      <c r="M493" s="51">
        <f t="shared" si="156"/>
        <v>0</v>
      </c>
      <c r="N493" s="51">
        <f t="shared" si="156"/>
        <v>0</v>
      </c>
      <c r="O493" s="51">
        <f t="shared" si="156"/>
        <v>0</v>
      </c>
      <c r="P493" s="51">
        <f t="shared" si="156"/>
        <v>0</v>
      </c>
      <c r="Q493" s="59">
        <f t="shared" si="156"/>
        <v>0</v>
      </c>
      <c r="R493" s="32">
        <f>+R494+R499+R503+R505+R508</f>
        <v>6874</v>
      </c>
      <c r="S493" s="32">
        <f>S494+S499+S503+S505+S508</f>
        <v>7551.3700000000008</v>
      </c>
      <c r="T493" s="126">
        <f>S493*100/R493</f>
        <v>109.85408786732617</v>
      </c>
    </row>
    <row r="494" spans="1:20" s="3" customFormat="1" ht="15.75" x14ac:dyDescent="0.25">
      <c r="A494" s="7" t="s">
        <v>478</v>
      </c>
      <c r="B494" s="13" t="s">
        <v>265</v>
      </c>
      <c r="C494" s="23"/>
      <c r="D494" s="24"/>
      <c r="E494" s="17"/>
      <c r="F494" s="82">
        <f>SUM(F495:F498)</f>
        <v>750</v>
      </c>
      <c r="G494" s="89">
        <f t="shared" si="152"/>
        <v>0</v>
      </c>
      <c r="H494" s="18">
        <f t="shared" si="154"/>
        <v>750</v>
      </c>
      <c r="I494" s="54">
        <f t="shared" ref="I494:Q494" si="157">SUM(I495:I498)</f>
        <v>750</v>
      </c>
      <c r="J494" s="55">
        <f t="shared" si="157"/>
        <v>0</v>
      </c>
      <c r="K494" s="55">
        <f t="shared" si="157"/>
        <v>0</v>
      </c>
      <c r="L494" s="55">
        <f t="shared" si="157"/>
        <v>0</v>
      </c>
      <c r="M494" s="55">
        <f>SUM(M495:M498)</f>
        <v>0</v>
      </c>
      <c r="N494" s="55">
        <f t="shared" si="157"/>
        <v>0</v>
      </c>
      <c r="O494" s="55">
        <f t="shared" si="157"/>
        <v>0</v>
      </c>
      <c r="P494" s="55">
        <f t="shared" si="157"/>
        <v>0</v>
      </c>
      <c r="Q494" s="56">
        <f t="shared" si="157"/>
        <v>0</v>
      </c>
      <c r="R494" s="33">
        <v>750</v>
      </c>
      <c r="S494" s="33">
        <f>28.08+8.53+631.32</f>
        <v>667.93000000000006</v>
      </c>
      <c r="T494" s="127">
        <f>S494*100/R494</f>
        <v>89.057333333333332</v>
      </c>
    </row>
    <row r="495" spans="1:20" outlineLevel="1" x14ac:dyDescent="0.25">
      <c r="A495" s="5" t="s">
        <v>479</v>
      </c>
      <c r="B495" s="75" t="s">
        <v>281</v>
      </c>
      <c r="C495" s="25"/>
      <c r="D495" s="92">
        <v>1</v>
      </c>
      <c r="E495" s="110">
        <v>200</v>
      </c>
      <c r="F495" s="93">
        <f>D495*E495</f>
        <v>200</v>
      </c>
      <c r="G495" s="74">
        <f t="shared" si="152"/>
        <v>0</v>
      </c>
      <c r="H495" s="95">
        <f t="shared" si="154"/>
        <v>200</v>
      </c>
      <c r="I495" s="112">
        <v>200</v>
      </c>
      <c r="J495" s="57"/>
      <c r="K495" s="57"/>
      <c r="L495" s="57"/>
      <c r="M495" s="57"/>
      <c r="N495" s="57"/>
      <c r="O495" s="57"/>
      <c r="P495" s="68"/>
      <c r="Q495" s="58"/>
      <c r="R495" s="76"/>
      <c r="S495" s="76"/>
      <c r="T495" s="128"/>
    </row>
    <row r="496" spans="1:20" outlineLevel="1" x14ac:dyDescent="0.25">
      <c r="A496" s="4" t="s">
        <v>480</v>
      </c>
      <c r="B496" s="75" t="s">
        <v>309</v>
      </c>
      <c r="C496" s="25"/>
      <c r="D496" s="92">
        <v>4</v>
      </c>
      <c r="E496" s="110">
        <v>100</v>
      </c>
      <c r="F496" s="93">
        <f>D496*E496</f>
        <v>400</v>
      </c>
      <c r="G496" s="74">
        <f t="shared" si="152"/>
        <v>0</v>
      </c>
      <c r="H496" s="95">
        <f t="shared" si="154"/>
        <v>400</v>
      </c>
      <c r="I496" s="112">
        <v>400</v>
      </c>
      <c r="J496" s="57"/>
      <c r="K496" s="57"/>
      <c r="L496" s="57"/>
      <c r="M496" s="57"/>
      <c r="N496" s="57"/>
      <c r="O496" s="57"/>
      <c r="P496" s="68"/>
      <c r="Q496" s="58"/>
      <c r="R496" s="76"/>
      <c r="S496" s="76"/>
      <c r="T496" s="128"/>
    </row>
    <row r="497" spans="1:20" outlineLevel="1" x14ac:dyDescent="0.25">
      <c r="A497" s="4" t="s">
        <v>481</v>
      </c>
      <c r="B497" s="75" t="s">
        <v>285</v>
      </c>
      <c r="C497" s="25"/>
      <c r="D497" s="92">
        <v>1</v>
      </c>
      <c r="E497" s="110">
        <v>150</v>
      </c>
      <c r="F497" s="93">
        <f>D497*E497</f>
        <v>150</v>
      </c>
      <c r="G497" s="74">
        <f t="shared" si="152"/>
        <v>0</v>
      </c>
      <c r="H497" s="95">
        <f t="shared" si="154"/>
        <v>150</v>
      </c>
      <c r="I497" s="112">
        <v>150</v>
      </c>
      <c r="J497" s="57"/>
      <c r="K497" s="57"/>
      <c r="L497" s="57"/>
      <c r="M497" s="57"/>
      <c r="N497" s="57"/>
      <c r="O497" s="57"/>
      <c r="P497" s="68"/>
      <c r="Q497" s="58"/>
      <c r="R497" s="76"/>
      <c r="S497" s="76"/>
      <c r="T497" s="128"/>
    </row>
    <row r="498" spans="1:20" outlineLevel="1" x14ac:dyDescent="0.25">
      <c r="A498" s="4" t="s">
        <v>482</v>
      </c>
      <c r="B498" s="75" t="s">
        <v>47</v>
      </c>
      <c r="C498" s="25"/>
      <c r="D498" s="92"/>
      <c r="E498" s="110"/>
      <c r="F498" s="93">
        <f>D498*E498</f>
        <v>0</v>
      </c>
      <c r="G498" s="74">
        <f t="shared" si="152"/>
        <v>0</v>
      </c>
      <c r="H498" s="95">
        <f t="shared" si="154"/>
        <v>0</v>
      </c>
      <c r="I498" s="112"/>
      <c r="J498" s="57"/>
      <c r="K498" s="57"/>
      <c r="L498" s="57"/>
      <c r="M498" s="57"/>
      <c r="N498" s="57"/>
      <c r="O498" s="57"/>
      <c r="P498" s="68"/>
      <c r="Q498" s="58"/>
      <c r="R498" s="76"/>
      <c r="S498" s="76"/>
      <c r="T498" s="128"/>
    </row>
    <row r="499" spans="1:20" s="3" customFormat="1" ht="15.75" x14ac:dyDescent="0.25">
      <c r="A499" s="7" t="s">
        <v>483</v>
      </c>
      <c r="B499" s="13" t="s">
        <v>248</v>
      </c>
      <c r="C499" s="23"/>
      <c r="D499" s="24"/>
      <c r="E499" s="17"/>
      <c r="F499" s="82">
        <f>SUM(F500:F502)</f>
        <v>6150</v>
      </c>
      <c r="G499" s="89">
        <f t="shared" si="152"/>
        <v>0</v>
      </c>
      <c r="H499" s="18">
        <f t="shared" si="154"/>
        <v>6150</v>
      </c>
      <c r="I499" s="54">
        <f t="shared" ref="I499:Q499" si="158">SUM(I500:I502)</f>
        <v>750</v>
      </c>
      <c r="J499" s="55">
        <f t="shared" si="158"/>
        <v>5400</v>
      </c>
      <c r="K499" s="55">
        <f t="shared" si="158"/>
        <v>0</v>
      </c>
      <c r="L499" s="55">
        <f t="shared" si="158"/>
        <v>0</v>
      </c>
      <c r="M499" s="55">
        <f t="shared" si="158"/>
        <v>0</v>
      </c>
      <c r="N499" s="55">
        <f t="shared" si="158"/>
        <v>0</v>
      </c>
      <c r="O499" s="55">
        <f t="shared" si="158"/>
        <v>0</v>
      </c>
      <c r="P499" s="55">
        <f t="shared" si="158"/>
        <v>0</v>
      </c>
      <c r="Q499" s="56">
        <f t="shared" si="158"/>
        <v>0</v>
      </c>
      <c r="R499" s="33">
        <v>6124</v>
      </c>
      <c r="S499" s="33">
        <f>475.49+2922.11+373.8+572.99+738.96+499</f>
        <v>5582.35</v>
      </c>
      <c r="T499" s="127">
        <f>S499*100/R499</f>
        <v>91.155290659699546</v>
      </c>
    </row>
    <row r="500" spans="1:20" outlineLevel="1" x14ac:dyDescent="0.25">
      <c r="A500" s="4" t="s">
        <v>484</v>
      </c>
      <c r="B500" s="75" t="s">
        <v>248</v>
      </c>
      <c r="C500" s="25"/>
      <c r="D500" s="92">
        <v>1</v>
      </c>
      <c r="E500" s="110">
        <v>5400</v>
      </c>
      <c r="F500" s="93">
        <f>D500*E500</f>
        <v>5400</v>
      </c>
      <c r="G500" s="74">
        <f t="shared" si="152"/>
        <v>0</v>
      </c>
      <c r="H500" s="95">
        <f t="shared" si="154"/>
        <v>5400</v>
      </c>
      <c r="I500" s="112"/>
      <c r="J500" s="57">
        <f>F500</f>
        <v>5400</v>
      </c>
      <c r="K500" s="57"/>
      <c r="L500" s="57"/>
      <c r="M500" s="57"/>
      <c r="N500" s="57"/>
      <c r="O500" s="57"/>
      <c r="P500" s="68"/>
      <c r="Q500" s="58"/>
      <c r="R500" s="76"/>
      <c r="S500" s="76"/>
      <c r="T500" s="128"/>
    </row>
    <row r="501" spans="1:20" outlineLevel="1" x14ac:dyDescent="0.25">
      <c r="A501" s="4" t="s">
        <v>485</v>
      </c>
      <c r="B501" s="75" t="s">
        <v>837</v>
      </c>
      <c r="C501" s="25"/>
      <c r="D501" s="92">
        <v>1</v>
      </c>
      <c r="E501" s="110">
        <v>750</v>
      </c>
      <c r="F501" s="93">
        <f>D501*E501</f>
        <v>750</v>
      </c>
      <c r="G501" s="74">
        <f t="shared" si="152"/>
        <v>0</v>
      </c>
      <c r="H501" s="95">
        <f t="shared" si="154"/>
        <v>750</v>
      </c>
      <c r="I501" s="112">
        <v>750</v>
      </c>
      <c r="J501" s="57"/>
      <c r="K501" s="57"/>
      <c r="L501" s="57"/>
      <c r="M501" s="57"/>
      <c r="N501" s="57"/>
      <c r="O501" s="57"/>
      <c r="P501" s="68"/>
      <c r="Q501" s="58"/>
      <c r="R501" s="76"/>
      <c r="S501" s="76"/>
      <c r="T501" s="128"/>
    </row>
    <row r="502" spans="1:20" outlineLevel="1" x14ac:dyDescent="0.25">
      <c r="A502" s="4" t="s">
        <v>486</v>
      </c>
      <c r="B502" s="75" t="s">
        <v>47</v>
      </c>
      <c r="C502" s="25"/>
      <c r="D502" s="92"/>
      <c r="E502" s="110"/>
      <c r="F502" s="93">
        <f>D502*E502</f>
        <v>0</v>
      </c>
      <c r="G502" s="74">
        <f t="shared" si="152"/>
        <v>0</v>
      </c>
      <c r="H502" s="95">
        <f t="shared" si="154"/>
        <v>0</v>
      </c>
      <c r="I502" s="112"/>
      <c r="J502" s="57"/>
      <c r="K502" s="57"/>
      <c r="L502" s="57"/>
      <c r="M502" s="57"/>
      <c r="N502" s="57"/>
      <c r="O502" s="57"/>
      <c r="P502" s="68"/>
      <c r="Q502" s="58"/>
      <c r="R502" s="76"/>
      <c r="S502" s="76"/>
      <c r="T502" s="128"/>
    </row>
    <row r="503" spans="1:20" s="3" customFormat="1" ht="15.75" x14ac:dyDescent="0.25">
      <c r="A503" s="7" t="s">
        <v>487</v>
      </c>
      <c r="B503" s="13" t="s">
        <v>666</v>
      </c>
      <c r="C503" s="23"/>
      <c r="D503" s="24"/>
      <c r="E503" s="17"/>
      <c r="F503" s="82">
        <f>SUM(F504:F504)</f>
        <v>0</v>
      </c>
      <c r="G503" s="89">
        <f t="shared" si="152"/>
        <v>0</v>
      </c>
      <c r="H503" s="18">
        <f t="shared" si="154"/>
        <v>0</v>
      </c>
      <c r="I503" s="54">
        <f t="shared" ref="I503:Q503" si="159">SUM(I504:I504)</f>
        <v>0</v>
      </c>
      <c r="J503" s="55">
        <f t="shared" si="159"/>
        <v>0</v>
      </c>
      <c r="K503" s="55">
        <f t="shared" si="159"/>
        <v>0</v>
      </c>
      <c r="L503" s="55">
        <f t="shared" si="159"/>
        <v>0</v>
      </c>
      <c r="M503" s="55">
        <f t="shared" si="159"/>
        <v>0</v>
      </c>
      <c r="N503" s="55">
        <f t="shared" si="159"/>
        <v>0</v>
      </c>
      <c r="O503" s="55">
        <f t="shared" si="159"/>
        <v>0</v>
      </c>
      <c r="P503" s="55">
        <f t="shared" si="159"/>
        <v>0</v>
      </c>
      <c r="Q503" s="56">
        <f t="shared" si="159"/>
        <v>0</v>
      </c>
      <c r="R503" s="33">
        <v>0</v>
      </c>
      <c r="S503" s="33">
        <f>SUM(S504:S504)</f>
        <v>0</v>
      </c>
      <c r="T503" s="127"/>
    </row>
    <row r="504" spans="1:20" outlineLevel="1" x14ac:dyDescent="0.25">
      <c r="A504" s="4" t="s">
        <v>488</v>
      </c>
      <c r="B504" s="75" t="s">
        <v>47</v>
      </c>
      <c r="C504" s="25"/>
      <c r="D504" s="92"/>
      <c r="E504" s="110"/>
      <c r="F504" s="93">
        <f>D504*E504</f>
        <v>0</v>
      </c>
      <c r="G504" s="74">
        <f t="shared" si="152"/>
        <v>0</v>
      </c>
      <c r="H504" s="95">
        <f t="shared" si="154"/>
        <v>0</v>
      </c>
      <c r="I504" s="112"/>
      <c r="J504" s="57"/>
      <c r="K504" s="57"/>
      <c r="L504" s="57"/>
      <c r="M504" s="57"/>
      <c r="N504" s="57"/>
      <c r="O504" s="57"/>
      <c r="P504" s="68"/>
      <c r="Q504" s="58"/>
      <c r="R504" s="76"/>
      <c r="S504" s="76"/>
      <c r="T504" s="128"/>
    </row>
    <row r="505" spans="1:20" s="3" customFormat="1" ht="15.75" x14ac:dyDescent="0.25">
      <c r="A505" s="7" t="s">
        <v>489</v>
      </c>
      <c r="B505" s="13" t="s">
        <v>250</v>
      </c>
      <c r="C505" s="23"/>
      <c r="D505" s="24"/>
      <c r="E505" s="17"/>
      <c r="F505" s="82">
        <f>SUM(F506:F507)</f>
        <v>1000</v>
      </c>
      <c r="G505" s="89">
        <f t="shared" si="152"/>
        <v>0</v>
      </c>
      <c r="H505" s="18">
        <f t="shared" si="154"/>
        <v>1000</v>
      </c>
      <c r="I505" s="54">
        <f t="shared" ref="I505:Q505" si="160">SUM(I506:I507)</f>
        <v>1000</v>
      </c>
      <c r="J505" s="55">
        <f t="shared" si="160"/>
        <v>0</v>
      </c>
      <c r="K505" s="55">
        <f t="shared" si="160"/>
        <v>0</v>
      </c>
      <c r="L505" s="55">
        <f t="shared" si="160"/>
        <v>0</v>
      </c>
      <c r="M505" s="55">
        <f t="shared" si="160"/>
        <v>0</v>
      </c>
      <c r="N505" s="55">
        <f t="shared" si="160"/>
        <v>0</v>
      </c>
      <c r="O505" s="55">
        <f t="shared" si="160"/>
        <v>0</v>
      </c>
      <c r="P505" s="55">
        <f t="shared" si="160"/>
        <v>0</v>
      </c>
      <c r="Q505" s="56">
        <f t="shared" si="160"/>
        <v>0</v>
      </c>
      <c r="R505" s="33">
        <v>0</v>
      </c>
      <c r="S505" s="33">
        <f>907.17+384.74+9.18</f>
        <v>1301.0899999999999</v>
      </c>
      <c r="T505" s="127"/>
    </row>
    <row r="506" spans="1:20" outlineLevel="1" x14ac:dyDescent="0.25">
      <c r="A506" s="4" t="s">
        <v>490</v>
      </c>
      <c r="B506" s="75" t="s">
        <v>861</v>
      </c>
      <c r="C506" s="25"/>
      <c r="D506" s="92">
        <v>1</v>
      </c>
      <c r="E506" s="110">
        <v>1000</v>
      </c>
      <c r="F506" s="93">
        <f>D506*E506</f>
        <v>1000</v>
      </c>
      <c r="G506" s="74">
        <f t="shared" si="152"/>
        <v>0</v>
      </c>
      <c r="H506" s="95">
        <f t="shared" si="154"/>
        <v>1000</v>
      </c>
      <c r="I506" s="112">
        <f>F506</f>
        <v>1000</v>
      </c>
      <c r="J506" s="57"/>
      <c r="K506" s="57"/>
      <c r="L506" s="57"/>
      <c r="M506" s="57"/>
      <c r="N506" s="57"/>
      <c r="O506" s="57"/>
      <c r="P506" s="68"/>
      <c r="Q506" s="58"/>
      <c r="R506" s="76"/>
      <c r="S506" s="76"/>
      <c r="T506" s="128"/>
    </row>
    <row r="507" spans="1:20" outlineLevel="1" x14ac:dyDescent="0.25">
      <c r="A507" s="4" t="s">
        <v>491</v>
      </c>
      <c r="B507" s="75" t="s">
        <v>47</v>
      </c>
      <c r="C507" s="25"/>
      <c r="D507" s="92"/>
      <c r="E507" s="110"/>
      <c r="F507" s="93">
        <f>D507*E507</f>
        <v>0</v>
      </c>
      <c r="G507" s="74">
        <f t="shared" si="152"/>
        <v>0</v>
      </c>
      <c r="H507" s="95">
        <f t="shared" si="154"/>
        <v>0</v>
      </c>
      <c r="I507" s="112"/>
      <c r="J507" s="57"/>
      <c r="K507" s="57"/>
      <c r="L507" s="57"/>
      <c r="M507" s="57"/>
      <c r="N507" s="57"/>
      <c r="O507" s="57"/>
      <c r="P507" s="68"/>
      <c r="Q507" s="58"/>
      <c r="R507" s="76"/>
      <c r="S507" s="76"/>
      <c r="T507" s="128"/>
    </row>
    <row r="508" spans="1:20" s="3" customFormat="1" ht="15.75" x14ac:dyDescent="0.25">
      <c r="A508" s="7" t="s">
        <v>492</v>
      </c>
      <c r="B508" s="13" t="s">
        <v>495</v>
      </c>
      <c r="C508" s="23"/>
      <c r="D508" s="24"/>
      <c r="E508" s="17"/>
      <c r="F508" s="82">
        <f>SUM(F509:F509)</f>
        <v>600</v>
      </c>
      <c r="G508" s="89">
        <f t="shared" si="152"/>
        <v>0</v>
      </c>
      <c r="H508" s="18">
        <f t="shared" si="154"/>
        <v>600</v>
      </c>
      <c r="I508" s="54">
        <f t="shared" ref="I508:Q508" si="161">SUM(I509:I509)</f>
        <v>0</v>
      </c>
      <c r="J508" s="55">
        <f t="shared" si="161"/>
        <v>600</v>
      </c>
      <c r="K508" s="55">
        <f t="shared" si="161"/>
        <v>0</v>
      </c>
      <c r="L508" s="55">
        <f t="shared" si="161"/>
        <v>0</v>
      </c>
      <c r="M508" s="55">
        <f t="shared" si="161"/>
        <v>0</v>
      </c>
      <c r="N508" s="55">
        <f t="shared" si="161"/>
        <v>0</v>
      </c>
      <c r="O508" s="55">
        <f t="shared" si="161"/>
        <v>0</v>
      </c>
      <c r="P508" s="55">
        <f t="shared" si="161"/>
        <v>0</v>
      </c>
      <c r="Q508" s="56">
        <f t="shared" si="161"/>
        <v>0</v>
      </c>
      <c r="R508" s="33">
        <v>0</v>
      </c>
      <c r="S508" s="33">
        <f>SUM(S509:S509)</f>
        <v>0</v>
      </c>
      <c r="T508" s="127"/>
    </row>
    <row r="509" spans="1:20" outlineLevel="1" x14ac:dyDescent="0.25">
      <c r="A509" s="4" t="s">
        <v>493</v>
      </c>
      <c r="B509" s="75" t="s">
        <v>495</v>
      </c>
      <c r="C509" s="25"/>
      <c r="D509" s="92">
        <v>1</v>
      </c>
      <c r="E509" s="110">
        <v>600</v>
      </c>
      <c r="F509" s="93">
        <f>D509*E509</f>
        <v>600</v>
      </c>
      <c r="G509" s="74">
        <f t="shared" si="152"/>
        <v>0</v>
      </c>
      <c r="H509" s="95">
        <f t="shared" si="154"/>
        <v>600</v>
      </c>
      <c r="I509" s="112"/>
      <c r="J509" s="57">
        <v>600</v>
      </c>
      <c r="K509" s="57"/>
      <c r="L509" s="57"/>
      <c r="M509" s="57"/>
      <c r="N509" s="57"/>
      <c r="O509" s="57"/>
      <c r="P509" s="68"/>
      <c r="Q509" s="58"/>
      <c r="R509" s="76"/>
      <c r="S509" s="76"/>
      <c r="T509" s="128"/>
    </row>
    <row r="510" spans="1:20" s="2" customFormat="1" ht="21" x14ac:dyDescent="0.35">
      <c r="A510" s="8" t="s">
        <v>619</v>
      </c>
      <c r="B510" s="12" t="s">
        <v>477</v>
      </c>
      <c r="C510" s="21"/>
      <c r="D510" s="22"/>
      <c r="E510" s="15"/>
      <c r="F510" s="84">
        <f>F511+F516+F532+F566+F570</f>
        <v>95800</v>
      </c>
      <c r="G510" s="89">
        <f t="shared" si="152"/>
        <v>0</v>
      </c>
      <c r="H510" s="16">
        <f t="shared" si="154"/>
        <v>95800</v>
      </c>
      <c r="I510" s="51">
        <f t="shared" ref="I510:Q510" si="162">I511+I516+I532+I566+I570</f>
        <v>8125</v>
      </c>
      <c r="J510" s="51">
        <f t="shared" si="162"/>
        <v>87675</v>
      </c>
      <c r="K510" s="51">
        <f t="shared" si="162"/>
        <v>0</v>
      </c>
      <c r="L510" s="51">
        <f t="shared" si="162"/>
        <v>0</v>
      </c>
      <c r="M510" s="51">
        <f t="shared" si="162"/>
        <v>0</v>
      </c>
      <c r="N510" s="51">
        <f t="shared" si="162"/>
        <v>0</v>
      </c>
      <c r="O510" s="51">
        <f t="shared" si="162"/>
        <v>0</v>
      </c>
      <c r="P510" s="51">
        <f t="shared" si="162"/>
        <v>0</v>
      </c>
      <c r="Q510" s="59">
        <f t="shared" si="162"/>
        <v>0</v>
      </c>
      <c r="R510" s="32">
        <f>+R511+R516+R532+R566+R570</f>
        <v>114231</v>
      </c>
      <c r="S510" s="32">
        <f>S511+S516+S532+S566+S570</f>
        <v>121198.46</v>
      </c>
      <c r="T510" s="126">
        <f>S510*100/R510</f>
        <v>106.09944761054355</v>
      </c>
    </row>
    <row r="511" spans="1:20" s="3" customFormat="1" ht="15.75" x14ac:dyDescent="0.25">
      <c r="A511" s="7" t="s">
        <v>620</v>
      </c>
      <c r="B511" s="13" t="s">
        <v>265</v>
      </c>
      <c r="C511" s="23"/>
      <c r="D511" s="24"/>
      <c r="E511" s="17"/>
      <c r="F511" s="82">
        <f>SUM(F512:F515)</f>
        <v>1000</v>
      </c>
      <c r="G511" s="89">
        <f t="shared" si="152"/>
        <v>0</v>
      </c>
      <c r="H511" s="18">
        <f t="shared" si="154"/>
        <v>1000</v>
      </c>
      <c r="I511" s="54">
        <f t="shared" ref="I511:Q511" si="163">SUM(I512:I515)</f>
        <v>1000</v>
      </c>
      <c r="J511" s="55">
        <f t="shared" si="163"/>
        <v>0</v>
      </c>
      <c r="K511" s="55">
        <f t="shared" si="163"/>
        <v>0</v>
      </c>
      <c r="L511" s="55">
        <f t="shared" si="163"/>
        <v>0</v>
      </c>
      <c r="M511" s="55">
        <f>SUM(M512:M515)</f>
        <v>0</v>
      </c>
      <c r="N511" s="55">
        <f t="shared" si="163"/>
        <v>0</v>
      </c>
      <c r="O511" s="55">
        <f t="shared" si="163"/>
        <v>0</v>
      </c>
      <c r="P511" s="55">
        <f t="shared" si="163"/>
        <v>0</v>
      </c>
      <c r="Q511" s="56">
        <f t="shared" si="163"/>
        <v>0</v>
      </c>
      <c r="R511" s="33">
        <v>1200</v>
      </c>
      <c r="S511" s="33">
        <v>1115.68</v>
      </c>
      <c r="T511" s="127">
        <f>S511*100/R511</f>
        <v>92.973333333333329</v>
      </c>
    </row>
    <row r="512" spans="1:20" outlineLevel="1" x14ac:dyDescent="0.25">
      <c r="A512" s="5" t="s">
        <v>621</v>
      </c>
      <c r="B512" s="75" t="s">
        <v>281</v>
      </c>
      <c r="C512" s="25"/>
      <c r="D512" s="92">
        <v>1</v>
      </c>
      <c r="E512" s="110">
        <v>200</v>
      </c>
      <c r="F512" s="93">
        <f>D512*E512</f>
        <v>200</v>
      </c>
      <c r="G512" s="74">
        <f t="shared" si="152"/>
        <v>0</v>
      </c>
      <c r="H512" s="95">
        <f t="shared" si="154"/>
        <v>200</v>
      </c>
      <c r="I512" s="112">
        <v>200</v>
      </c>
      <c r="J512" s="57"/>
      <c r="K512" s="57"/>
      <c r="L512" s="57"/>
      <c r="M512" s="57"/>
      <c r="N512" s="57"/>
      <c r="O512" s="57"/>
      <c r="P512" s="68"/>
      <c r="Q512" s="58"/>
      <c r="R512" s="76"/>
      <c r="S512" s="76"/>
      <c r="T512" s="128"/>
    </row>
    <row r="513" spans="1:20" outlineLevel="1" x14ac:dyDescent="0.25">
      <c r="A513" s="4" t="s">
        <v>622</v>
      </c>
      <c r="B513" s="75" t="s">
        <v>309</v>
      </c>
      <c r="C513" s="25"/>
      <c r="D513" s="92">
        <v>4</v>
      </c>
      <c r="E513" s="110">
        <v>100</v>
      </c>
      <c r="F513" s="93">
        <f>D513*E513</f>
        <v>400</v>
      </c>
      <c r="G513" s="74">
        <f t="shared" si="152"/>
        <v>0</v>
      </c>
      <c r="H513" s="95">
        <f t="shared" si="154"/>
        <v>400</v>
      </c>
      <c r="I513" s="112">
        <v>400</v>
      </c>
      <c r="J513" s="57"/>
      <c r="K513" s="57"/>
      <c r="L513" s="57"/>
      <c r="M513" s="57"/>
      <c r="N513" s="57"/>
      <c r="O513" s="57"/>
      <c r="P513" s="68"/>
      <c r="Q513" s="58"/>
      <c r="R513" s="76"/>
      <c r="S513" s="76"/>
      <c r="T513" s="128"/>
    </row>
    <row r="514" spans="1:20" outlineLevel="1" x14ac:dyDescent="0.25">
      <c r="A514" s="4" t="s">
        <v>623</v>
      </c>
      <c r="B514" s="75" t="s">
        <v>285</v>
      </c>
      <c r="C514" s="25"/>
      <c r="D514" s="92">
        <v>8</v>
      </c>
      <c r="E514" s="110">
        <v>50</v>
      </c>
      <c r="F514" s="93">
        <f>D514*E514</f>
        <v>400</v>
      </c>
      <c r="G514" s="74">
        <f t="shared" si="152"/>
        <v>0</v>
      </c>
      <c r="H514" s="95">
        <f t="shared" si="154"/>
        <v>400</v>
      </c>
      <c r="I514" s="112">
        <v>400</v>
      </c>
      <c r="J514" s="57"/>
      <c r="K514" s="57"/>
      <c r="L514" s="57"/>
      <c r="M514" s="57"/>
      <c r="N514" s="57"/>
      <c r="O514" s="57"/>
      <c r="P514" s="68"/>
      <c r="Q514" s="58"/>
      <c r="R514" s="76"/>
      <c r="S514" s="76"/>
      <c r="T514" s="128"/>
    </row>
    <row r="515" spans="1:20" outlineLevel="1" x14ac:dyDescent="0.25">
      <c r="A515" s="4" t="s">
        <v>624</v>
      </c>
      <c r="B515" s="75" t="s">
        <v>47</v>
      </c>
      <c r="C515" s="25"/>
      <c r="D515" s="92"/>
      <c r="E515" s="110"/>
      <c r="F515" s="93">
        <f>D515*E515</f>
        <v>0</v>
      </c>
      <c r="G515" s="74">
        <f t="shared" si="152"/>
        <v>0</v>
      </c>
      <c r="H515" s="95">
        <f t="shared" si="154"/>
        <v>0</v>
      </c>
      <c r="I515" s="112"/>
      <c r="J515" s="57"/>
      <c r="K515" s="57"/>
      <c r="L515" s="57"/>
      <c r="M515" s="57"/>
      <c r="N515" s="57"/>
      <c r="O515" s="57"/>
      <c r="P515" s="68"/>
      <c r="Q515" s="58"/>
      <c r="R515" s="76"/>
      <c r="S515" s="76"/>
      <c r="T515" s="128"/>
    </row>
    <row r="516" spans="1:20" s="3" customFormat="1" ht="15.75" x14ac:dyDescent="0.25">
      <c r="A516" s="7" t="s">
        <v>625</v>
      </c>
      <c r="B516" s="13" t="s">
        <v>248</v>
      </c>
      <c r="C516" s="23"/>
      <c r="D516" s="24"/>
      <c r="E516" s="17"/>
      <c r="F516" s="82">
        <f>SUM(F517:F531)</f>
        <v>28375</v>
      </c>
      <c r="G516" s="89">
        <f t="shared" si="152"/>
        <v>0</v>
      </c>
      <c r="H516" s="18">
        <f t="shared" si="154"/>
        <v>28375</v>
      </c>
      <c r="I516" s="54">
        <f t="shared" ref="I516:Q516" si="164">SUM(I517:I531)</f>
        <v>0</v>
      </c>
      <c r="J516" s="55">
        <f t="shared" si="164"/>
        <v>28375</v>
      </c>
      <c r="K516" s="55">
        <f t="shared" si="164"/>
        <v>0</v>
      </c>
      <c r="L516" s="55">
        <f t="shared" si="164"/>
        <v>0</v>
      </c>
      <c r="M516" s="55">
        <f t="shared" si="164"/>
        <v>0</v>
      </c>
      <c r="N516" s="55">
        <f t="shared" si="164"/>
        <v>0</v>
      </c>
      <c r="O516" s="55">
        <f t="shared" si="164"/>
        <v>0</v>
      </c>
      <c r="P516" s="55">
        <f t="shared" si="164"/>
        <v>0</v>
      </c>
      <c r="Q516" s="56">
        <f t="shared" si="164"/>
        <v>0</v>
      </c>
      <c r="R516" s="33">
        <f>86870*0.65</f>
        <v>56465.5</v>
      </c>
      <c r="S516" s="33">
        <f>8934.69+7218.67+7910.27+8454.71+7026.01+1953.11+4674.12+2544.65+4306.4+1823.69+6081.28</f>
        <v>60927.600000000006</v>
      </c>
      <c r="T516" s="127">
        <f>S516*100/R516</f>
        <v>107.90234745109848</v>
      </c>
    </row>
    <row r="517" spans="1:20" outlineLevel="1" x14ac:dyDescent="0.25">
      <c r="A517" s="4" t="s">
        <v>626</v>
      </c>
      <c r="B517" s="75" t="s">
        <v>750</v>
      </c>
      <c r="C517" s="25"/>
      <c r="D517" s="92">
        <v>0</v>
      </c>
      <c r="E517" s="110">
        <v>65</v>
      </c>
      <c r="F517" s="93">
        <f t="shared" ref="F517:F531" si="165">D517*E517</f>
        <v>0</v>
      </c>
      <c r="G517" s="74">
        <f t="shared" si="152"/>
        <v>0</v>
      </c>
      <c r="H517" s="95">
        <f t="shared" si="154"/>
        <v>0</v>
      </c>
      <c r="I517" s="112"/>
      <c r="J517" s="57">
        <f>F517</f>
        <v>0</v>
      </c>
      <c r="K517" s="57"/>
      <c r="L517" s="57"/>
      <c r="M517" s="57"/>
      <c r="N517" s="57"/>
      <c r="O517" s="57"/>
      <c r="P517" s="68"/>
      <c r="Q517" s="58"/>
      <c r="R517" s="76"/>
      <c r="S517" s="76"/>
      <c r="T517" s="128"/>
    </row>
    <row r="518" spans="1:20" outlineLevel="1" x14ac:dyDescent="0.25">
      <c r="A518" s="4" t="s">
        <v>627</v>
      </c>
      <c r="B518" s="75" t="s">
        <v>752</v>
      </c>
      <c r="C518" s="25"/>
      <c r="D518" s="92">
        <v>25</v>
      </c>
      <c r="E518" s="110">
        <v>65</v>
      </c>
      <c r="F518" s="93">
        <f t="shared" si="165"/>
        <v>1625</v>
      </c>
      <c r="G518" s="74">
        <f t="shared" si="152"/>
        <v>0</v>
      </c>
      <c r="H518" s="95">
        <f t="shared" si="154"/>
        <v>1625</v>
      </c>
      <c r="I518" s="112"/>
      <c r="J518" s="57">
        <f>F518</f>
        <v>1625</v>
      </c>
      <c r="K518" s="57"/>
      <c r="L518" s="57"/>
      <c r="M518" s="57"/>
      <c r="N518" s="57"/>
      <c r="O518" s="57"/>
      <c r="P518" s="68"/>
      <c r="Q518" s="58"/>
      <c r="R518" s="76"/>
      <c r="S518" s="76"/>
      <c r="T518" s="128"/>
    </row>
    <row r="519" spans="1:20" outlineLevel="1" x14ac:dyDescent="0.25">
      <c r="A519" s="4" t="s">
        <v>628</v>
      </c>
      <c r="B519" s="75" t="s">
        <v>753</v>
      </c>
      <c r="C519" s="25"/>
      <c r="D519" s="92">
        <v>0</v>
      </c>
      <c r="E519" s="110">
        <v>65</v>
      </c>
      <c r="F519" s="93">
        <f t="shared" si="165"/>
        <v>0</v>
      </c>
      <c r="G519" s="74">
        <f t="shared" si="152"/>
        <v>0</v>
      </c>
      <c r="H519" s="95">
        <f t="shared" si="154"/>
        <v>0</v>
      </c>
      <c r="I519" s="112"/>
      <c r="J519" s="57">
        <f>F519</f>
        <v>0</v>
      </c>
      <c r="K519" s="57"/>
      <c r="L519" s="57"/>
      <c r="M519" s="57"/>
      <c r="N519" s="57"/>
      <c r="O519" s="57"/>
      <c r="P519" s="68"/>
      <c r="Q519" s="58"/>
      <c r="R519" s="76"/>
      <c r="S519" s="76"/>
      <c r="T519" s="128"/>
    </row>
    <row r="520" spans="1:20" outlineLevel="1" x14ac:dyDescent="0.25">
      <c r="A520" s="4" t="s">
        <v>667</v>
      </c>
      <c r="B520" s="75" t="s">
        <v>751</v>
      </c>
      <c r="C520" s="25"/>
      <c r="D520" s="92">
        <v>0</v>
      </c>
      <c r="E520" s="110">
        <v>502</v>
      </c>
      <c r="F520" s="93">
        <f t="shared" si="165"/>
        <v>0</v>
      </c>
      <c r="G520" s="74">
        <f t="shared" si="152"/>
        <v>0</v>
      </c>
      <c r="H520" s="95">
        <f t="shared" si="154"/>
        <v>0</v>
      </c>
      <c r="I520" s="112"/>
      <c r="J520" s="57">
        <f t="shared" ref="J520:J530" si="166">F520</f>
        <v>0</v>
      </c>
      <c r="K520" s="57"/>
      <c r="L520" s="57"/>
      <c r="M520" s="57"/>
      <c r="N520" s="57"/>
      <c r="O520" s="57"/>
      <c r="P520" s="68"/>
      <c r="Q520" s="58"/>
      <c r="R520" s="76"/>
      <c r="S520" s="76"/>
      <c r="T520" s="128"/>
    </row>
    <row r="521" spans="1:20" outlineLevel="1" x14ac:dyDescent="0.25">
      <c r="A521" s="4" t="s">
        <v>668</v>
      </c>
      <c r="B521" s="75" t="s">
        <v>754</v>
      </c>
      <c r="C521" s="25"/>
      <c r="D521" s="92">
        <v>25</v>
      </c>
      <c r="E521" s="110">
        <v>450</v>
      </c>
      <c r="F521" s="93">
        <f t="shared" si="165"/>
        <v>11250</v>
      </c>
      <c r="G521" s="74">
        <f t="shared" si="152"/>
        <v>0</v>
      </c>
      <c r="H521" s="95">
        <f t="shared" si="154"/>
        <v>11250</v>
      </c>
      <c r="I521" s="112"/>
      <c r="J521" s="57">
        <f t="shared" si="166"/>
        <v>11250</v>
      </c>
      <c r="K521" s="57"/>
      <c r="L521" s="57"/>
      <c r="M521" s="57"/>
      <c r="N521" s="57"/>
      <c r="O521" s="57"/>
      <c r="P521" s="68"/>
      <c r="Q521" s="58"/>
      <c r="R521" s="76"/>
      <c r="S521" s="76"/>
      <c r="T521" s="128"/>
    </row>
    <row r="522" spans="1:20" outlineLevel="1" x14ac:dyDescent="0.25">
      <c r="A522" s="4" t="s">
        <v>669</v>
      </c>
      <c r="B522" s="75" t="s">
        <v>812</v>
      </c>
      <c r="C522" s="25"/>
      <c r="D522" s="92">
        <v>0</v>
      </c>
      <c r="E522" s="110">
        <v>502</v>
      </c>
      <c r="F522" s="93">
        <f t="shared" si="165"/>
        <v>0</v>
      </c>
      <c r="G522" s="74">
        <f t="shared" si="152"/>
        <v>0</v>
      </c>
      <c r="H522" s="95">
        <f t="shared" si="154"/>
        <v>0</v>
      </c>
      <c r="I522" s="112"/>
      <c r="J522" s="57">
        <f t="shared" si="166"/>
        <v>0</v>
      </c>
      <c r="K522" s="57"/>
      <c r="L522" s="57"/>
      <c r="M522" s="57"/>
      <c r="N522" s="57"/>
      <c r="O522" s="57"/>
      <c r="P522" s="68"/>
      <c r="Q522" s="58"/>
      <c r="R522" s="76"/>
      <c r="S522" s="76"/>
      <c r="T522" s="128"/>
    </row>
    <row r="523" spans="1:20" outlineLevel="1" x14ac:dyDescent="0.25">
      <c r="A523" s="4" t="s">
        <v>670</v>
      </c>
      <c r="B523" s="75" t="s">
        <v>755</v>
      </c>
      <c r="C523" s="25"/>
      <c r="D523" s="92">
        <v>20</v>
      </c>
      <c r="E523" s="110">
        <v>250</v>
      </c>
      <c r="F523" s="93">
        <f t="shared" si="165"/>
        <v>5000</v>
      </c>
      <c r="G523" s="74">
        <f t="shared" si="152"/>
        <v>0</v>
      </c>
      <c r="H523" s="95">
        <f t="shared" si="154"/>
        <v>5000</v>
      </c>
      <c r="I523" s="112"/>
      <c r="J523" s="57">
        <f t="shared" si="166"/>
        <v>5000</v>
      </c>
      <c r="K523" s="57"/>
      <c r="L523" s="57"/>
      <c r="M523" s="57"/>
      <c r="N523" s="57"/>
      <c r="O523" s="57"/>
      <c r="P523" s="68"/>
      <c r="Q523" s="58"/>
      <c r="R523" s="76"/>
      <c r="S523" s="76"/>
      <c r="T523" s="128"/>
    </row>
    <row r="524" spans="1:20" outlineLevel="1" x14ac:dyDescent="0.25">
      <c r="A524" s="4" t="s">
        <v>671</v>
      </c>
      <c r="B524" s="75" t="s">
        <v>756</v>
      </c>
      <c r="C524" s="25"/>
      <c r="D524" s="92">
        <v>20</v>
      </c>
      <c r="E524" s="110">
        <v>250</v>
      </c>
      <c r="F524" s="93">
        <f t="shared" si="165"/>
        <v>5000</v>
      </c>
      <c r="G524" s="74">
        <f t="shared" si="152"/>
        <v>0</v>
      </c>
      <c r="H524" s="95">
        <f t="shared" si="154"/>
        <v>5000</v>
      </c>
      <c r="I524" s="112"/>
      <c r="J524" s="57">
        <f t="shared" si="166"/>
        <v>5000</v>
      </c>
      <c r="K524" s="57"/>
      <c r="L524" s="57"/>
      <c r="M524" s="57"/>
      <c r="N524" s="57"/>
      <c r="O524" s="57"/>
      <c r="P524" s="68"/>
      <c r="Q524" s="58"/>
      <c r="R524" s="76"/>
      <c r="S524" s="76"/>
      <c r="T524" s="128"/>
    </row>
    <row r="525" spans="1:20" outlineLevel="1" x14ac:dyDescent="0.25">
      <c r="A525" s="4" t="s">
        <v>672</v>
      </c>
      <c r="B525" s="75" t="s">
        <v>759</v>
      </c>
      <c r="C525" s="25"/>
      <c r="D525" s="92">
        <v>10</v>
      </c>
      <c r="E525" s="110">
        <v>275</v>
      </c>
      <c r="F525" s="93">
        <f t="shared" si="165"/>
        <v>2750</v>
      </c>
      <c r="G525" s="74">
        <f t="shared" si="152"/>
        <v>0</v>
      </c>
      <c r="H525" s="95">
        <f t="shared" si="154"/>
        <v>2750</v>
      </c>
      <c r="I525" s="112"/>
      <c r="J525" s="57">
        <f t="shared" si="166"/>
        <v>2750</v>
      </c>
      <c r="K525" s="57"/>
      <c r="L525" s="57"/>
      <c r="M525" s="57"/>
      <c r="N525" s="57"/>
      <c r="O525" s="57"/>
      <c r="P525" s="68"/>
      <c r="Q525" s="58"/>
      <c r="R525" s="76"/>
      <c r="S525" s="76"/>
      <c r="T525" s="128"/>
    </row>
    <row r="526" spans="1:20" outlineLevel="1" x14ac:dyDescent="0.25">
      <c r="A526" s="4" t="s">
        <v>673</v>
      </c>
      <c r="B526" s="75" t="s">
        <v>757</v>
      </c>
      <c r="C526" s="25"/>
      <c r="D526" s="92">
        <v>0</v>
      </c>
      <c r="E526" s="110">
        <v>292</v>
      </c>
      <c r="F526" s="93">
        <f t="shared" si="165"/>
        <v>0</v>
      </c>
      <c r="G526" s="74">
        <f t="shared" si="152"/>
        <v>0</v>
      </c>
      <c r="H526" s="95">
        <f t="shared" si="154"/>
        <v>0</v>
      </c>
      <c r="I526" s="112"/>
      <c r="J526" s="57">
        <f t="shared" si="166"/>
        <v>0</v>
      </c>
      <c r="K526" s="57"/>
      <c r="L526" s="57"/>
      <c r="M526" s="57"/>
      <c r="N526" s="57"/>
      <c r="O526" s="57"/>
      <c r="P526" s="68"/>
      <c r="Q526" s="58"/>
      <c r="R526" s="76"/>
      <c r="S526" s="76"/>
      <c r="T526" s="128"/>
    </row>
    <row r="527" spans="1:20" outlineLevel="1" x14ac:dyDescent="0.25">
      <c r="A527" s="4" t="s">
        <v>674</v>
      </c>
      <c r="B527" s="75" t="s">
        <v>758</v>
      </c>
      <c r="C527" s="25"/>
      <c r="D527" s="92">
        <v>0</v>
      </c>
      <c r="E527" s="110">
        <v>292</v>
      </c>
      <c r="F527" s="93">
        <f t="shared" si="165"/>
        <v>0</v>
      </c>
      <c r="G527" s="74">
        <f t="shared" si="152"/>
        <v>0</v>
      </c>
      <c r="H527" s="95">
        <f t="shared" si="154"/>
        <v>0</v>
      </c>
      <c r="I527" s="112"/>
      <c r="J527" s="57">
        <f t="shared" si="166"/>
        <v>0</v>
      </c>
      <c r="K527" s="57"/>
      <c r="L527" s="57"/>
      <c r="M527" s="57"/>
      <c r="N527" s="57"/>
      <c r="O527" s="57"/>
      <c r="P527" s="68"/>
      <c r="Q527" s="58"/>
      <c r="R527" s="76"/>
      <c r="S527" s="76"/>
      <c r="T527" s="128"/>
    </row>
    <row r="528" spans="1:20" outlineLevel="1" x14ac:dyDescent="0.25">
      <c r="A528" s="4" t="s">
        <v>675</v>
      </c>
      <c r="B528" s="75" t="s">
        <v>760</v>
      </c>
      <c r="C528" s="25"/>
      <c r="D528" s="92">
        <v>10</v>
      </c>
      <c r="E528" s="110">
        <v>275</v>
      </c>
      <c r="F528" s="93">
        <f t="shared" si="165"/>
        <v>2750</v>
      </c>
      <c r="G528" s="74">
        <f t="shared" si="152"/>
        <v>0</v>
      </c>
      <c r="H528" s="95">
        <f t="shared" si="154"/>
        <v>2750</v>
      </c>
      <c r="I528" s="112"/>
      <c r="J528" s="57">
        <f t="shared" si="166"/>
        <v>2750</v>
      </c>
      <c r="K528" s="57"/>
      <c r="L528" s="57"/>
      <c r="M528" s="57"/>
      <c r="N528" s="57"/>
      <c r="O528" s="57"/>
      <c r="P528" s="68"/>
      <c r="Q528" s="58"/>
      <c r="R528" s="76"/>
      <c r="S528" s="76"/>
      <c r="T528" s="128"/>
    </row>
    <row r="529" spans="1:20" outlineLevel="1" x14ac:dyDescent="0.25">
      <c r="A529" s="4" t="s">
        <v>676</v>
      </c>
      <c r="B529" s="75" t="s">
        <v>761</v>
      </c>
      <c r="C529" s="25"/>
      <c r="D529" s="92">
        <v>0</v>
      </c>
      <c r="E529" s="110">
        <v>317</v>
      </c>
      <c r="F529" s="93">
        <f t="shared" si="165"/>
        <v>0</v>
      </c>
      <c r="G529" s="74">
        <f t="shared" si="152"/>
        <v>0</v>
      </c>
      <c r="H529" s="95">
        <f t="shared" si="154"/>
        <v>0</v>
      </c>
      <c r="I529" s="112"/>
      <c r="J529" s="57">
        <f t="shared" si="166"/>
        <v>0</v>
      </c>
      <c r="K529" s="57"/>
      <c r="L529" s="57"/>
      <c r="M529" s="57"/>
      <c r="N529" s="57"/>
      <c r="O529" s="57"/>
      <c r="P529" s="68"/>
      <c r="Q529" s="58"/>
      <c r="R529" s="76"/>
      <c r="S529" s="76"/>
      <c r="T529" s="128"/>
    </row>
    <row r="530" spans="1:20" outlineLevel="1" x14ac:dyDescent="0.25">
      <c r="A530" s="4" t="s">
        <v>677</v>
      </c>
      <c r="B530" s="75" t="s">
        <v>762</v>
      </c>
      <c r="C530" s="25"/>
      <c r="D530" s="92">
        <v>0</v>
      </c>
      <c r="E530" s="110">
        <v>317</v>
      </c>
      <c r="F530" s="93">
        <f t="shared" si="165"/>
        <v>0</v>
      </c>
      <c r="G530" s="74">
        <f t="shared" si="152"/>
        <v>0</v>
      </c>
      <c r="H530" s="95">
        <f t="shared" si="154"/>
        <v>0</v>
      </c>
      <c r="I530" s="112"/>
      <c r="J530" s="57">
        <f t="shared" si="166"/>
        <v>0</v>
      </c>
      <c r="K530" s="57"/>
      <c r="L530" s="57"/>
      <c r="M530" s="57"/>
      <c r="N530" s="57"/>
      <c r="O530" s="57"/>
      <c r="P530" s="68"/>
      <c r="Q530" s="58"/>
      <c r="R530" s="76"/>
      <c r="S530" s="76"/>
      <c r="T530" s="128"/>
    </row>
    <row r="531" spans="1:20" outlineLevel="1" x14ac:dyDescent="0.25">
      <c r="A531" s="4" t="s">
        <v>678</v>
      </c>
      <c r="B531" s="75" t="s">
        <v>47</v>
      </c>
      <c r="C531" s="25"/>
      <c r="D531" s="92"/>
      <c r="E531" s="110"/>
      <c r="F531" s="93">
        <f t="shared" si="165"/>
        <v>0</v>
      </c>
      <c r="G531" s="74">
        <f t="shared" si="152"/>
        <v>0</v>
      </c>
      <c r="H531" s="95">
        <f t="shared" si="154"/>
        <v>0</v>
      </c>
      <c r="I531" s="112"/>
      <c r="J531" s="57"/>
      <c r="K531" s="57"/>
      <c r="L531" s="57"/>
      <c r="M531" s="57"/>
      <c r="N531" s="57"/>
      <c r="O531" s="57"/>
      <c r="P531" s="68"/>
      <c r="Q531" s="58"/>
      <c r="R531" s="76"/>
      <c r="S531" s="76"/>
      <c r="T531" s="128"/>
    </row>
    <row r="532" spans="1:20" s="3" customFormat="1" ht="15.75" x14ac:dyDescent="0.25">
      <c r="A532" s="7" t="s">
        <v>629</v>
      </c>
      <c r="B532" s="13" t="s">
        <v>666</v>
      </c>
      <c r="C532" s="23"/>
      <c r="D532" s="24"/>
      <c r="E532" s="17"/>
      <c r="F532" s="82">
        <f>SUM(F533:F565)</f>
        <v>51750</v>
      </c>
      <c r="G532" s="89">
        <f t="shared" si="152"/>
        <v>0</v>
      </c>
      <c r="H532" s="18">
        <f>SUM(I532:Q532)</f>
        <v>51750</v>
      </c>
      <c r="I532" s="54">
        <f t="shared" ref="I532:Q532" si="167">SUM(I533:I565)</f>
        <v>1000</v>
      </c>
      <c r="J532" s="55">
        <f t="shared" si="167"/>
        <v>50750</v>
      </c>
      <c r="K532" s="55">
        <f t="shared" si="167"/>
        <v>0</v>
      </c>
      <c r="L532" s="55">
        <f t="shared" si="167"/>
        <v>0</v>
      </c>
      <c r="M532" s="55">
        <f t="shared" si="167"/>
        <v>0</v>
      </c>
      <c r="N532" s="55">
        <f t="shared" si="167"/>
        <v>0</v>
      </c>
      <c r="O532" s="55">
        <f t="shared" si="167"/>
        <v>0</v>
      </c>
      <c r="P532" s="55">
        <f t="shared" si="167"/>
        <v>0</v>
      </c>
      <c r="Q532" s="56">
        <f t="shared" si="167"/>
        <v>0</v>
      </c>
      <c r="R532" s="33">
        <f>86870*0.35</f>
        <v>30404.499999999996</v>
      </c>
      <c r="S532" s="33">
        <f>412.84+1296.01+863.87+2149.2+1250.51+1658.31+462.86+1130.39+884.7+1802.09+464.8+1369.78+609.88+1245.94+1894.12+4674.36+683.4+959.8+626.88+1495.96+843.86+1911.28+469.4+992.86+1088.2+1344.35+449.38+1095.16+314.5</f>
        <v>34444.69</v>
      </c>
      <c r="T532" s="127">
        <f>S532*100/R532</f>
        <v>113.28813169103259</v>
      </c>
    </row>
    <row r="533" spans="1:20" outlineLevel="1" x14ac:dyDescent="0.25">
      <c r="A533" s="4" t="s">
        <v>630</v>
      </c>
      <c r="B533" s="75" t="s">
        <v>804</v>
      </c>
      <c r="C533" s="25"/>
      <c r="D533" s="92">
        <v>25</v>
      </c>
      <c r="E533" s="110">
        <v>70</v>
      </c>
      <c r="F533" s="93">
        <f t="shared" ref="F533:F565" si="168">D533*E533</f>
        <v>1750</v>
      </c>
      <c r="G533" s="74">
        <f t="shared" si="152"/>
        <v>0</v>
      </c>
      <c r="H533" s="95">
        <f>SUM(I533:Q533)</f>
        <v>1750</v>
      </c>
      <c r="I533" s="112"/>
      <c r="J533" s="57">
        <f>F533</f>
        <v>1750</v>
      </c>
      <c r="K533" s="57"/>
      <c r="L533" s="57"/>
      <c r="M533" s="57"/>
      <c r="N533" s="57"/>
      <c r="O533" s="57"/>
      <c r="P533" s="68"/>
      <c r="Q533" s="58"/>
      <c r="R533" s="76"/>
      <c r="S533" s="76"/>
      <c r="T533" s="128"/>
    </row>
    <row r="534" spans="1:20" outlineLevel="1" x14ac:dyDescent="0.25">
      <c r="A534" s="4" t="s">
        <v>631</v>
      </c>
      <c r="B534" s="75" t="s">
        <v>805</v>
      </c>
      <c r="C534" s="25"/>
      <c r="D534" s="92">
        <v>25</v>
      </c>
      <c r="E534" s="110">
        <v>70</v>
      </c>
      <c r="F534" s="93">
        <f t="shared" si="168"/>
        <v>1750</v>
      </c>
      <c r="G534" s="74">
        <f t="shared" si="152"/>
        <v>0</v>
      </c>
      <c r="H534" s="95">
        <f t="shared" ref="H534:H565" si="169">SUM(I534:Q534)</f>
        <v>1750</v>
      </c>
      <c r="I534" s="112"/>
      <c r="J534" s="57">
        <f t="shared" ref="J534:J565" si="170">F534</f>
        <v>1750</v>
      </c>
      <c r="K534" s="57"/>
      <c r="L534" s="57"/>
      <c r="M534" s="57"/>
      <c r="N534" s="57"/>
      <c r="O534" s="57"/>
      <c r="P534" s="68"/>
      <c r="Q534" s="58"/>
      <c r="R534" s="76"/>
      <c r="S534" s="76"/>
      <c r="T534" s="128"/>
    </row>
    <row r="535" spans="1:20" outlineLevel="1" x14ac:dyDescent="0.25">
      <c r="A535" s="4" t="s">
        <v>637</v>
      </c>
      <c r="B535" s="75" t="s">
        <v>806</v>
      </c>
      <c r="C535" s="25"/>
      <c r="D535" s="92">
        <v>25</v>
      </c>
      <c r="E535" s="110">
        <v>70</v>
      </c>
      <c r="F535" s="93">
        <f t="shared" si="168"/>
        <v>1750</v>
      </c>
      <c r="G535" s="74">
        <f t="shared" si="152"/>
        <v>0</v>
      </c>
      <c r="H535" s="95">
        <f t="shared" si="169"/>
        <v>1750</v>
      </c>
      <c r="I535" s="112"/>
      <c r="J535" s="57">
        <f t="shared" si="170"/>
        <v>1750</v>
      </c>
      <c r="K535" s="57"/>
      <c r="L535" s="57"/>
      <c r="M535" s="57"/>
      <c r="N535" s="57"/>
      <c r="O535" s="57"/>
      <c r="P535" s="68"/>
      <c r="Q535" s="58"/>
      <c r="R535" s="76"/>
      <c r="S535" s="76"/>
      <c r="T535" s="128"/>
    </row>
    <row r="536" spans="1:20" outlineLevel="1" x14ac:dyDescent="0.25">
      <c r="A536" s="4" t="s">
        <v>632</v>
      </c>
      <c r="B536" s="75" t="s">
        <v>807</v>
      </c>
      <c r="C536" s="25"/>
      <c r="D536" s="92">
        <v>0</v>
      </c>
      <c r="E536" s="110">
        <v>70</v>
      </c>
      <c r="F536" s="93">
        <f t="shared" si="168"/>
        <v>0</v>
      </c>
      <c r="G536" s="74">
        <f t="shared" si="152"/>
        <v>0</v>
      </c>
      <c r="H536" s="95">
        <f t="shared" si="169"/>
        <v>0</v>
      </c>
      <c r="I536" s="112"/>
      <c r="J536" s="57">
        <f t="shared" si="170"/>
        <v>0</v>
      </c>
      <c r="K536" s="57"/>
      <c r="L536" s="57"/>
      <c r="M536" s="57"/>
      <c r="N536" s="57"/>
      <c r="O536" s="57"/>
      <c r="P536" s="68"/>
      <c r="Q536" s="58"/>
      <c r="R536" s="76"/>
      <c r="S536" s="76"/>
      <c r="T536" s="128"/>
    </row>
    <row r="537" spans="1:20" outlineLevel="1" x14ac:dyDescent="0.25">
      <c r="A537" s="4" t="s">
        <v>638</v>
      </c>
      <c r="B537" s="75" t="s">
        <v>808</v>
      </c>
      <c r="C537" s="25"/>
      <c r="D537" s="92">
        <v>25</v>
      </c>
      <c r="E537" s="110">
        <v>70</v>
      </c>
      <c r="F537" s="93">
        <f t="shared" si="168"/>
        <v>1750</v>
      </c>
      <c r="G537" s="74">
        <f t="shared" si="152"/>
        <v>0</v>
      </c>
      <c r="H537" s="95">
        <f t="shared" si="169"/>
        <v>1750</v>
      </c>
      <c r="I537" s="112"/>
      <c r="J537" s="57">
        <f t="shared" si="170"/>
        <v>1750</v>
      </c>
      <c r="K537" s="57"/>
      <c r="L537" s="57"/>
      <c r="M537" s="57"/>
      <c r="N537" s="57"/>
      <c r="O537" s="57"/>
      <c r="P537" s="68"/>
      <c r="Q537" s="58"/>
      <c r="R537" s="76"/>
      <c r="S537" s="76"/>
      <c r="T537" s="128"/>
    </row>
    <row r="538" spans="1:20" outlineLevel="1" x14ac:dyDescent="0.25">
      <c r="A538" s="4" t="s">
        <v>679</v>
      </c>
      <c r="B538" s="75" t="s">
        <v>809</v>
      </c>
      <c r="C538" s="25"/>
      <c r="D538" s="92">
        <v>25</v>
      </c>
      <c r="E538" s="110">
        <v>70</v>
      </c>
      <c r="F538" s="93">
        <f t="shared" si="168"/>
        <v>1750</v>
      </c>
      <c r="G538" s="74">
        <f t="shared" si="152"/>
        <v>0</v>
      </c>
      <c r="H538" s="95">
        <f t="shared" si="169"/>
        <v>1750</v>
      </c>
      <c r="I538" s="112"/>
      <c r="J538" s="57">
        <f t="shared" si="170"/>
        <v>1750</v>
      </c>
      <c r="K538" s="57"/>
      <c r="L538" s="57"/>
      <c r="M538" s="57"/>
      <c r="N538" s="57"/>
      <c r="O538" s="57"/>
      <c r="P538" s="68"/>
      <c r="Q538" s="58"/>
      <c r="R538" s="76"/>
      <c r="S538" s="76"/>
      <c r="T538" s="128"/>
    </row>
    <row r="539" spans="1:20" outlineLevel="1" x14ac:dyDescent="0.25">
      <c r="A539" s="4" t="s">
        <v>680</v>
      </c>
      <c r="B539" s="75" t="s">
        <v>810</v>
      </c>
      <c r="C539" s="25"/>
      <c r="D539" s="92">
        <v>25</v>
      </c>
      <c r="E539" s="110">
        <v>70</v>
      </c>
      <c r="F539" s="93">
        <f t="shared" si="168"/>
        <v>1750</v>
      </c>
      <c r="G539" s="74">
        <f t="shared" si="152"/>
        <v>0</v>
      </c>
      <c r="H539" s="95">
        <f t="shared" si="169"/>
        <v>1750</v>
      </c>
      <c r="I539" s="112"/>
      <c r="J539" s="57">
        <f t="shared" si="170"/>
        <v>1750</v>
      </c>
      <c r="K539" s="57"/>
      <c r="L539" s="57"/>
      <c r="M539" s="57"/>
      <c r="N539" s="57"/>
      <c r="O539" s="57"/>
      <c r="P539" s="68"/>
      <c r="Q539" s="58"/>
      <c r="R539" s="76"/>
      <c r="S539" s="76"/>
      <c r="T539" s="128"/>
    </row>
    <row r="540" spans="1:20" outlineLevel="1" x14ac:dyDescent="0.25">
      <c r="A540" s="4" t="s">
        <v>681</v>
      </c>
      <c r="B540" s="75" t="s">
        <v>811</v>
      </c>
      <c r="C540" s="25"/>
      <c r="D540" s="92">
        <v>0</v>
      </c>
      <c r="E540" s="110">
        <v>70</v>
      </c>
      <c r="F540" s="93">
        <f t="shared" si="168"/>
        <v>0</v>
      </c>
      <c r="G540" s="74">
        <f t="shared" si="152"/>
        <v>0</v>
      </c>
      <c r="H540" s="95">
        <f t="shared" si="169"/>
        <v>0</v>
      </c>
      <c r="I540" s="112"/>
      <c r="J540" s="57">
        <f t="shared" si="170"/>
        <v>0</v>
      </c>
      <c r="K540" s="57"/>
      <c r="L540" s="57"/>
      <c r="M540" s="57"/>
      <c r="N540" s="57"/>
      <c r="O540" s="57"/>
      <c r="P540" s="68"/>
      <c r="Q540" s="58"/>
      <c r="R540" s="76"/>
      <c r="S540" s="76"/>
      <c r="T540" s="128"/>
    </row>
    <row r="541" spans="1:20" outlineLevel="1" x14ac:dyDescent="0.25">
      <c r="A541" s="4" t="s">
        <v>682</v>
      </c>
      <c r="B541" s="75" t="s">
        <v>781</v>
      </c>
      <c r="C541" s="25"/>
      <c r="D541" s="92">
        <v>25</v>
      </c>
      <c r="E541" s="110">
        <v>70</v>
      </c>
      <c r="F541" s="93">
        <f t="shared" si="168"/>
        <v>1750</v>
      </c>
      <c r="G541" s="74">
        <f t="shared" si="152"/>
        <v>0</v>
      </c>
      <c r="H541" s="95">
        <f t="shared" si="169"/>
        <v>1750</v>
      </c>
      <c r="I541" s="112"/>
      <c r="J541" s="57">
        <f t="shared" si="170"/>
        <v>1750</v>
      </c>
      <c r="K541" s="57"/>
      <c r="L541" s="57"/>
      <c r="M541" s="57"/>
      <c r="N541" s="57"/>
      <c r="O541" s="57"/>
      <c r="P541" s="68"/>
      <c r="Q541" s="58"/>
      <c r="R541" s="76"/>
      <c r="S541" s="76"/>
      <c r="T541" s="128"/>
    </row>
    <row r="542" spans="1:20" outlineLevel="1" x14ac:dyDescent="0.25">
      <c r="A542" s="4" t="s">
        <v>683</v>
      </c>
      <c r="B542" s="75" t="s">
        <v>782</v>
      </c>
      <c r="C542" s="25"/>
      <c r="D542" s="92">
        <v>25</v>
      </c>
      <c r="E542" s="110">
        <v>70</v>
      </c>
      <c r="F542" s="93">
        <f t="shared" si="168"/>
        <v>1750</v>
      </c>
      <c r="G542" s="74">
        <f t="shared" si="152"/>
        <v>0</v>
      </c>
      <c r="H542" s="95">
        <f t="shared" si="169"/>
        <v>1750</v>
      </c>
      <c r="I542" s="112"/>
      <c r="J542" s="57">
        <f t="shared" si="170"/>
        <v>1750</v>
      </c>
      <c r="K542" s="57"/>
      <c r="L542" s="57"/>
      <c r="M542" s="57"/>
      <c r="N542" s="57"/>
      <c r="O542" s="57"/>
      <c r="P542" s="68"/>
      <c r="Q542" s="58"/>
      <c r="R542" s="76"/>
      <c r="S542" s="76"/>
      <c r="T542" s="128"/>
    </row>
    <row r="543" spans="1:20" outlineLevel="1" x14ac:dyDescent="0.25">
      <c r="A543" s="4" t="s">
        <v>684</v>
      </c>
      <c r="B543" s="75" t="s">
        <v>783</v>
      </c>
      <c r="C543" s="25"/>
      <c r="D543" s="92">
        <v>25</v>
      </c>
      <c r="E543" s="110">
        <v>70</v>
      </c>
      <c r="F543" s="93">
        <f t="shared" si="168"/>
        <v>1750</v>
      </c>
      <c r="G543" s="74">
        <f t="shared" si="152"/>
        <v>0</v>
      </c>
      <c r="H543" s="95">
        <f t="shared" si="169"/>
        <v>1750</v>
      </c>
      <c r="I543" s="112"/>
      <c r="J543" s="57">
        <f t="shared" si="170"/>
        <v>1750</v>
      </c>
      <c r="K543" s="57"/>
      <c r="L543" s="57"/>
      <c r="M543" s="57"/>
      <c r="N543" s="57"/>
      <c r="O543" s="57"/>
      <c r="P543" s="68"/>
      <c r="Q543" s="58"/>
      <c r="R543" s="76"/>
      <c r="S543" s="76"/>
      <c r="T543" s="128"/>
    </row>
    <row r="544" spans="1:20" outlineLevel="1" x14ac:dyDescent="0.25">
      <c r="A544" s="4" t="s">
        <v>685</v>
      </c>
      <c r="B544" s="75" t="s">
        <v>784</v>
      </c>
      <c r="C544" s="25"/>
      <c r="D544" s="92">
        <v>25</v>
      </c>
      <c r="E544" s="110">
        <v>70</v>
      </c>
      <c r="F544" s="93">
        <f t="shared" si="168"/>
        <v>1750</v>
      </c>
      <c r="G544" s="74">
        <f t="shared" si="152"/>
        <v>0</v>
      </c>
      <c r="H544" s="95">
        <f t="shared" si="169"/>
        <v>1750</v>
      </c>
      <c r="I544" s="112"/>
      <c r="J544" s="57">
        <f t="shared" si="170"/>
        <v>1750</v>
      </c>
      <c r="K544" s="57"/>
      <c r="L544" s="57"/>
      <c r="M544" s="57"/>
      <c r="N544" s="57"/>
      <c r="O544" s="57"/>
      <c r="P544" s="68"/>
      <c r="Q544" s="58"/>
      <c r="R544" s="76"/>
      <c r="S544" s="76"/>
      <c r="T544" s="128"/>
    </row>
    <row r="545" spans="1:20" outlineLevel="1" x14ac:dyDescent="0.25">
      <c r="A545" s="4" t="s">
        <v>686</v>
      </c>
      <c r="B545" s="75" t="s">
        <v>785</v>
      </c>
      <c r="C545" s="25"/>
      <c r="D545" s="92">
        <v>25</v>
      </c>
      <c r="E545" s="110">
        <v>70</v>
      </c>
      <c r="F545" s="93">
        <f t="shared" si="168"/>
        <v>1750</v>
      </c>
      <c r="G545" s="74">
        <f t="shared" si="152"/>
        <v>0</v>
      </c>
      <c r="H545" s="95">
        <f t="shared" si="169"/>
        <v>1750</v>
      </c>
      <c r="I545" s="112"/>
      <c r="J545" s="57">
        <f t="shared" si="170"/>
        <v>1750</v>
      </c>
      <c r="K545" s="57"/>
      <c r="L545" s="57"/>
      <c r="M545" s="57"/>
      <c r="N545" s="57"/>
      <c r="O545" s="57"/>
      <c r="P545" s="68"/>
      <c r="Q545" s="58"/>
      <c r="R545" s="76"/>
      <c r="S545" s="76"/>
      <c r="T545" s="128"/>
    </row>
    <row r="546" spans="1:20" outlineLevel="1" x14ac:dyDescent="0.25">
      <c r="A546" s="4" t="s">
        <v>687</v>
      </c>
      <c r="B546" s="75" t="s">
        <v>786</v>
      </c>
      <c r="C546" s="25"/>
      <c r="D546" s="92">
        <v>25</v>
      </c>
      <c r="E546" s="110">
        <v>70</v>
      </c>
      <c r="F546" s="93">
        <f t="shared" si="168"/>
        <v>1750</v>
      </c>
      <c r="G546" s="74">
        <f t="shared" si="152"/>
        <v>0</v>
      </c>
      <c r="H546" s="95">
        <f t="shared" si="169"/>
        <v>1750</v>
      </c>
      <c r="I546" s="112"/>
      <c r="J546" s="57">
        <f t="shared" si="170"/>
        <v>1750</v>
      </c>
      <c r="K546" s="57"/>
      <c r="L546" s="57"/>
      <c r="M546" s="57"/>
      <c r="N546" s="57"/>
      <c r="O546" s="57"/>
      <c r="P546" s="68"/>
      <c r="Q546" s="58"/>
      <c r="R546" s="76"/>
      <c r="S546" s="76"/>
      <c r="T546" s="128"/>
    </row>
    <row r="547" spans="1:20" outlineLevel="1" x14ac:dyDescent="0.25">
      <c r="A547" s="4" t="s">
        <v>688</v>
      </c>
      <c r="B547" s="75" t="s">
        <v>787</v>
      </c>
      <c r="C547" s="25"/>
      <c r="D547" s="92">
        <v>25</v>
      </c>
      <c r="E547" s="110">
        <v>70</v>
      </c>
      <c r="F547" s="93">
        <f t="shared" si="168"/>
        <v>1750</v>
      </c>
      <c r="G547" s="74">
        <f t="shared" si="152"/>
        <v>0</v>
      </c>
      <c r="H547" s="95">
        <f t="shared" si="169"/>
        <v>1750</v>
      </c>
      <c r="I547" s="112"/>
      <c r="J547" s="57">
        <f t="shared" si="170"/>
        <v>1750</v>
      </c>
      <c r="K547" s="57"/>
      <c r="L547" s="57"/>
      <c r="M547" s="57"/>
      <c r="N547" s="57"/>
      <c r="O547" s="57"/>
      <c r="P547" s="68"/>
      <c r="Q547" s="58"/>
      <c r="R547" s="76"/>
      <c r="S547" s="76"/>
      <c r="T547" s="128"/>
    </row>
    <row r="548" spans="1:20" outlineLevel="1" x14ac:dyDescent="0.25">
      <c r="A548" s="4" t="s">
        <v>763</v>
      </c>
      <c r="B548" s="75" t="s">
        <v>788</v>
      </c>
      <c r="C548" s="25"/>
      <c r="D548" s="92">
        <v>25</v>
      </c>
      <c r="E548" s="110">
        <v>70</v>
      </c>
      <c r="F548" s="93">
        <f t="shared" si="168"/>
        <v>1750</v>
      </c>
      <c r="G548" s="74">
        <f t="shared" si="152"/>
        <v>0</v>
      </c>
      <c r="H548" s="95">
        <f t="shared" si="169"/>
        <v>1750</v>
      </c>
      <c r="I548" s="112"/>
      <c r="J548" s="57">
        <f t="shared" si="170"/>
        <v>1750</v>
      </c>
      <c r="K548" s="57"/>
      <c r="L548" s="57"/>
      <c r="M548" s="57"/>
      <c r="N548" s="57"/>
      <c r="O548" s="57"/>
      <c r="P548" s="68"/>
      <c r="Q548" s="58"/>
      <c r="R548" s="76"/>
      <c r="S548" s="76"/>
      <c r="T548" s="128"/>
    </row>
    <row r="549" spans="1:20" outlineLevel="1" x14ac:dyDescent="0.25">
      <c r="A549" s="4" t="s">
        <v>764</v>
      </c>
      <c r="B549" s="75" t="s">
        <v>789</v>
      </c>
      <c r="C549" s="25"/>
      <c r="D549" s="92">
        <v>25</v>
      </c>
      <c r="E549" s="110">
        <v>70</v>
      </c>
      <c r="F549" s="93">
        <f t="shared" si="168"/>
        <v>1750</v>
      </c>
      <c r="G549" s="74">
        <f t="shared" si="152"/>
        <v>0</v>
      </c>
      <c r="H549" s="95">
        <f t="shared" si="169"/>
        <v>1750</v>
      </c>
      <c r="I549" s="112"/>
      <c r="J549" s="57">
        <f t="shared" si="170"/>
        <v>1750</v>
      </c>
      <c r="K549" s="57"/>
      <c r="L549" s="57"/>
      <c r="M549" s="57"/>
      <c r="N549" s="57"/>
      <c r="O549" s="57"/>
      <c r="P549" s="68"/>
      <c r="Q549" s="58"/>
      <c r="R549" s="76"/>
      <c r="S549" s="76"/>
      <c r="T549" s="128"/>
    </row>
    <row r="550" spans="1:20" outlineLevel="1" x14ac:dyDescent="0.25">
      <c r="A550" s="4" t="s">
        <v>765</v>
      </c>
      <c r="B550" s="75" t="s">
        <v>790</v>
      </c>
      <c r="C550" s="25"/>
      <c r="D550" s="92">
        <v>25</v>
      </c>
      <c r="E550" s="110">
        <v>70</v>
      </c>
      <c r="F550" s="93">
        <f t="shared" si="168"/>
        <v>1750</v>
      </c>
      <c r="G550" s="74">
        <f t="shared" si="152"/>
        <v>0</v>
      </c>
      <c r="H550" s="95">
        <f t="shared" si="169"/>
        <v>1750</v>
      </c>
      <c r="I550" s="112"/>
      <c r="J550" s="57">
        <f t="shared" si="170"/>
        <v>1750</v>
      </c>
      <c r="K550" s="57"/>
      <c r="L550" s="57"/>
      <c r="M550" s="57"/>
      <c r="N550" s="57"/>
      <c r="O550" s="57"/>
      <c r="P550" s="68"/>
      <c r="Q550" s="58"/>
      <c r="R550" s="76"/>
      <c r="S550" s="76"/>
      <c r="T550" s="128"/>
    </row>
    <row r="551" spans="1:20" outlineLevel="1" x14ac:dyDescent="0.25">
      <c r="A551" s="4" t="s">
        <v>766</v>
      </c>
      <c r="B551" s="75" t="s">
        <v>791</v>
      </c>
      <c r="C551" s="25"/>
      <c r="D551" s="92">
        <v>25</v>
      </c>
      <c r="E551" s="110">
        <v>70</v>
      </c>
      <c r="F551" s="93">
        <f t="shared" si="168"/>
        <v>1750</v>
      </c>
      <c r="G551" s="74">
        <f t="shared" si="152"/>
        <v>0</v>
      </c>
      <c r="H551" s="95">
        <f t="shared" si="169"/>
        <v>1750</v>
      </c>
      <c r="I551" s="112"/>
      <c r="J551" s="57">
        <f t="shared" si="170"/>
        <v>1750</v>
      </c>
      <c r="K551" s="57"/>
      <c r="L551" s="57"/>
      <c r="M551" s="57"/>
      <c r="N551" s="57"/>
      <c r="O551" s="57"/>
      <c r="P551" s="68"/>
      <c r="Q551" s="58"/>
      <c r="R551" s="76"/>
      <c r="S551" s="76"/>
      <c r="T551" s="128"/>
    </row>
    <row r="552" spans="1:20" outlineLevel="1" x14ac:dyDescent="0.25">
      <c r="A552" s="4" t="s">
        <v>767</v>
      </c>
      <c r="B552" s="75" t="s">
        <v>792</v>
      </c>
      <c r="C552" s="25"/>
      <c r="D552" s="92">
        <v>25</v>
      </c>
      <c r="E552" s="110">
        <v>70</v>
      </c>
      <c r="F552" s="93">
        <f t="shared" si="168"/>
        <v>1750</v>
      </c>
      <c r="G552" s="74">
        <f t="shared" si="152"/>
        <v>0</v>
      </c>
      <c r="H552" s="95">
        <f t="shared" si="169"/>
        <v>1750</v>
      </c>
      <c r="I552" s="112"/>
      <c r="J552" s="57">
        <f t="shared" si="170"/>
        <v>1750</v>
      </c>
      <c r="K552" s="57"/>
      <c r="L552" s="57"/>
      <c r="M552" s="57"/>
      <c r="N552" s="57"/>
      <c r="O552" s="57"/>
      <c r="P552" s="68"/>
      <c r="Q552" s="58"/>
      <c r="R552" s="76"/>
      <c r="S552" s="76"/>
      <c r="T552" s="128"/>
    </row>
    <row r="553" spans="1:20" outlineLevel="1" x14ac:dyDescent="0.25">
      <c r="A553" s="4" t="s">
        <v>768</v>
      </c>
      <c r="B553" s="75" t="s">
        <v>793</v>
      </c>
      <c r="C553" s="25"/>
      <c r="D553" s="92">
        <v>25</v>
      </c>
      <c r="E553" s="110">
        <v>70</v>
      </c>
      <c r="F553" s="93">
        <f t="shared" si="168"/>
        <v>1750</v>
      </c>
      <c r="G553" s="74">
        <f t="shared" si="152"/>
        <v>0</v>
      </c>
      <c r="H553" s="95">
        <f t="shared" si="169"/>
        <v>1750</v>
      </c>
      <c r="I553" s="112"/>
      <c r="J553" s="57">
        <f t="shared" si="170"/>
        <v>1750</v>
      </c>
      <c r="K553" s="57"/>
      <c r="L553" s="57"/>
      <c r="M553" s="57"/>
      <c r="N553" s="57"/>
      <c r="O553" s="57"/>
      <c r="P553" s="68"/>
      <c r="Q553" s="58"/>
      <c r="R553" s="76"/>
      <c r="S553" s="76"/>
      <c r="T553" s="128"/>
    </row>
    <row r="554" spans="1:20" outlineLevel="1" x14ac:dyDescent="0.25">
      <c r="A554" s="4" t="s">
        <v>769</v>
      </c>
      <c r="B554" s="75" t="s">
        <v>794</v>
      </c>
      <c r="C554" s="25"/>
      <c r="D554" s="92">
        <v>25</v>
      </c>
      <c r="E554" s="110">
        <v>70</v>
      </c>
      <c r="F554" s="93">
        <f t="shared" si="168"/>
        <v>1750</v>
      </c>
      <c r="G554" s="74">
        <f t="shared" si="152"/>
        <v>0</v>
      </c>
      <c r="H554" s="95">
        <f t="shared" si="169"/>
        <v>1750</v>
      </c>
      <c r="I554" s="112"/>
      <c r="J554" s="57">
        <f t="shared" si="170"/>
        <v>1750</v>
      </c>
      <c r="K554" s="57"/>
      <c r="L554" s="57"/>
      <c r="M554" s="57"/>
      <c r="N554" s="57"/>
      <c r="O554" s="57"/>
      <c r="P554" s="68"/>
      <c r="Q554" s="58"/>
      <c r="R554" s="76"/>
      <c r="S554" s="76"/>
      <c r="T554" s="128"/>
    </row>
    <row r="555" spans="1:20" outlineLevel="1" x14ac:dyDescent="0.25">
      <c r="A555" s="4" t="s">
        <v>770</v>
      </c>
      <c r="B555" s="75" t="s">
        <v>795</v>
      </c>
      <c r="C555" s="25"/>
      <c r="D555" s="92">
        <v>25</v>
      </c>
      <c r="E555" s="110">
        <v>70</v>
      </c>
      <c r="F555" s="93">
        <f t="shared" si="168"/>
        <v>1750</v>
      </c>
      <c r="G555" s="74">
        <f t="shared" si="152"/>
        <v>0</v>
      </c>
      <c r="H555" s="95">
        <f t="shared" si="169"/>
        <v>1750</v>
      </c>
      <c r="I555" s="112"/>
      <c r="J555" s="57">
        <f t="shared" si="170"/>
        <v>1750</v>
      </c>
      <c r="K555" s="57"/>
      <c r="L555" s="57"/>
      <c r="M555" s="57"/>
      <c r="N555" s="57"/>
      <c r="O555" s="57"/>
      <c r="P555" s="68"/>
      <c r="Q555" s="58"/>
      <c r="R555" s="76"/>
      <c r="S555" s="76"/>
      <c r="T555" s="128"/>
    </row>
    <row r="556" spans="1:20" outlineLevel="1" x14ac:dyDescent="0.25">
      <c r="A556" s="4" t="s">
        <v>771</v>
      </c>
      <c r="B556" s="75" t="s">
        <v>796</v>
      </c>
      <c r="C556" s="25"/>
      <c r="D556" s="92">
        <v>25</v>
      </c>
      <c r="E556" s="110">
        <v>70</v>
      </c>
      <c r="F556" s="93">
        <f t="shared" si="168"/>
        <v>1750</v>
      </c>
      <c r="G556" s="74">
        <f t="shared" si="152"/>
        <v>0</v>
      </c>
      <c r="H556" s="95">
        <f t="shared" si="169"/>
        <v>1750</v>
      </c>
      <c r="I556" s="112"/>
      <c r="J556" s="57">
        <f t="shared" si="170"/>
        <v>1750</v>
      </c>
      <c r="K556" s="57"/>
      <c r="L556" s="57"/>
      <c r="M556" s="57"/>
      <c r="N556" s="57"/>
      <c r="O556" s="57"/>
      <c r="P556" s="68"/>
      <c r="Q556" s="58"/>
      <c r="R556" s="76"/>
      <c r="S556" s="76"/>
      <c r="T556" s="128"/>
    </row>
    <row r="557" spans="1:20" outlineLevel="1" x14ac:dyDescent="0.25">
      <c r="A557" s="4" t="s">
        <v>772</v>
      </c>
      <c r="B557" s="75" t="s">
        <v>797</v>
      </c>
      <c r="C557" s="25"/>
      <c r="D557" s="92">
        <v>25</v>
      </c>
      <c r="E557" s="110">
        <v>70</v>
      </c>
      <c r="F557" s="93">
        <f t="shared" si="168"/>
        <v>1750</v>
      </c>
      <c r="G557" s="74">
        <f t="shared" si="152"/>
        <v>0</v>
      </c>
      <c r="H557" s="95">
        <f t="shared" si="169"/>
        <v>1750</v>
      </c>
      <c r="I557" s="112"/>
      <c r="J557" s="57">
        <f t="shared" si="170"/>
        <v>1750</v>
      </c>
      <c r="K557" s="57"/>
      <c r="L557" s="57"/>
      <c r="M557" s="57"/>
      <c r="N557" s="57"/>
      <c r="O557" s="57"/>
      <c r="P557" s="68"/>
      <c r="Q557" s="58"/>
      <c r="R557" s="76"/>
      <c r="S557" s="76"/>
      <c r="T557" s="128"/>
    </row>
    <row r="558" spans="1:20" outlineLevel="1" x14ac:dyDescent="0.25">
      <c r="A558" s="4" t="s">
        <v>773</v>
      </c>
      <c r="B558" s="75" t="s">
        <v>798</v>
      </c>
      <c r="C558" s="25"/>
      <c r="D558" s="92">
        <v>25</v>
      </c>
      <c r="E558" s="110">
        <v>70</v>
      </c>
      <c r="F558" s="93">
        <f t="shared" si="168"/>
        <v>1750</v>
      </c>
      <c r="G558" s="74">
        <f t="shared" si="152"/>
        <v>0</v>
      </c>
      <c r="H558" s="95">
        <f t="shared" si="169"/>
        <v>1750</v>
      </c>
      <c r="I558" s="112"/>
      <c r="J558" s="57">
        <f t="shared" si="170"/>
        <v>1750</v>
      </c>
      <c r="K558" s="57"/>
      <c r="L558" s="57"/>
      <c r="M558" s="57"/>
      <c r="N558" s="57"/>
      <c r="O558" s="57"/>
      <c r="P558" s="68"/>
      <c r="Q558" s="58"/>
      <c r="R558" s="76"/>
      <c r="S558" s="76"/>
      <c r="T558" s="128"/>
    </row>
    <row r="559" spans="1:20" outlineLevel="1" x14ac:dyDescent="0.25">
      <c r="A559" s="4" t="s">
        <v>774</v>
      </c>
      <c r="B559" s="75" t="s">
        <v>799</v>
      </c>
      <c r="C559" s="25"/>
      <c r="D559" s="92">
        <v>25</v>
      </c>
      <c r="E559" s="110">
        <v>70</v>
      </c>
      <c r="F559" s="93">
        <f t="shared" si="168"/>
        <v>1750</v>
      </c>
      <c r="G559" s="74">
        <f t="shared" si="152"/>
        <v>0</v>
      </c>
      <c r="H559" s="95">
        <f t="shared" si="169"/>
        <v>1750</v>
      </c>
      <c r="I559" s="112"/>
      <c r="J559" s="57">
        <f t="shared" si="170"/>
        <v>1750</v>
      </c>
      <c r="K559" s="57"/>
      <c r="L559" s="57"/>
      <c r="M559" s="57"/>
      <c r="N559" s="57"/>
      <c r="O559" s="57"/>
      <c r="P559" s="68"/>
      <c r="Q559" s="58"/>
      <c r="R559" s="76"/>
      <c r="S559" s="76"/>
      <c r="T559" s="128"/>
    </row>
    <row r="560" spans="1:20" outlineLevel="1" x14ac:dyDescent="0.25">
      <c r="A560" s="4" t="s">
        <v>775</v>
      </c>
      <c r="B560" s="75" t="s">
        <v>800</v>
      </c>
      <c r="C560" s="25"/>
      <c r="D560" s="92">
        <v>25</v>
      </c>
      <c r="E560" s="110">
        <v>70</v>
      </c>
      <c r="F560" s="93">
        <f t="shared" si="168"/>
        <v>1750</v>
      </c>
      <c r="G560" s="74">
        <f t="shared" si="152"/>
        <v>0</v>
      </c>
      <c r="H560" s="95">
        <f t="shared" si="169"/>
        <v>1750</v>
      </c>
      <c r="I560" s="112"/>
      <c r="J560" s="57">
        <f t="shared" si="170"/>
        <v>1750</v>
      </c>
      <c r="K560" s="57"/>
      <c r="L560" s="57"/>
      <c r="M560" s="57"/>
      <c r="N560" s="57"/>
      <c r="O560" s="57"/>
      <c r="P560" s="68"/>
      <c r="Q560" s="58"/>
      <c r="R560" s="76"/>
      <c r="S560" s="76"/>
      <c r="T560" s="128"/>
    </row>
    <row r="561" spans="1:20" outlineLevel="1" x14ac:dyDescent="0.25">
      <c r="A561" s="4" t="s">
        <v>776</v>
      </c>
      <c r="B561" s="75" t="s">
        <v>801</v>
      </c>
      <c r="C561" s="25"/>
      <c r="D561" s="92">
        <v>25</v>
      </c>
      <c r="E561" s="110">
        <v>70</v>
      </c>
      <c r="F561" s="93">
        <f t="shared" si="168"/>
        <v>1750</v>
      </c>
      <c r="G561" s="74">
        <f t="shared" si="152"/>
        <v>0</v>
      </c>
      <c r="H561" s="95">
        <f t="shared" si="169"/>
        <v>1750</v>
      </c>
      <c r="I561" s="112"/>
      <c r="J561" s="57">
        <f t="shared" si="170"/>
        <v>1750</v>
      </c>
      <c r="K561" s="57"/>
      <c r="L561" s="57"/>
      <c r="M561" s="57"/>
      <c r="N561" s="57"/>
      <c r="O561" s="57"/>
      <c r="P561" s="68"/>
      <c r="Q561" s="58"/>
      <c r="R561" s="76"/>
      <c r="S561" s="76"/>
      <c r="T561" s="128"/>
    </row>
    <row r="562" spans="1:20" outlineLevel="1" x14ac:dyDescent="0.25">
      <c r="A562" s="4" t="s">
        <v>777</v>
      </c>
      <c r="B562" s="75" t="s">
        <v>802</v>
      </c>
      <c r="C562" s="25"/>
      <c r="D562" s="92">
        <v>25</v>
      </c>
      <c r="E562" s="110">
        <v>70</v>
      </c>
      <c r="F562" s="93">
        <f t="shared" si="168"/>
        <v>1750</v>
      </c>
      <c r="G562" s="74">
        <f t="shared" si="152"/>
        <v>0</v>
      </c>
      <c r="H562" s="95">
        <f t="shared" si="169"/>
        <v>1750</v>
      </c>
      <c r="I562" s="112"/>
      <c r="J562" s="57">
        <f t="shared" si="170"/>
        <v>1750</v>
      </c>
      <c r="K562" s="57"/>
      <c r="L562" s="57"/>
      <c r="M562" s="57"/>
      <c r="N562" s="57"/>
      <c r="O562" s="57"/>
      <c r="P562" s="68"/>
      <c r="Q562" s="58"/>
      <c r="R562" s="76"/>
      <c r="S562" s="76"/>
      <c r="T562" s="128"/>
    </row>
    <row r="563" spans="1:20" outlineLevel="1" x14ac:dyDescent="0.25">
      <c r="A563" s="4" t="s">
        <v>778</v>
      </c>
      <c r="B563" s="75" t="s">
        <v>803</v>
      </c>
      <c r="C563" s="25"/>
      <c r="D563" s="92">
        <v>25</v>
      </c>
      <c r="E563" s="110">
        <v>70</v>
      </c>
      <c r="F563" s="93">
        <f t="shared" si="168"/>
        <v>1750</v>
      </c>
      <c r="G563" s="74">
        <f t="shared" si="152"/>
        <v>0</v>
      </c>
      <c r="H563" s="95">
        <f t="shared" si="169"/>
        <v>1750</v>
      </c>
      <c r="I563" s="112"/>
      <c r="J563" s="57">
        <f t="shared" si="170"/>
        <v>1750</v>
      </c>
      <c r="K563" s="57"/>
      <c r="L563" s="57"/>
      <c r="M563" s="57"/>
      <c r="N563" s="57"/>
      <c r="O563" s="57"/>
      <c r="P563" s="68"/>
      <c r="Q563" s="58"/>
      <c r="R563" s="76"/>
      <c r="S563" s="76"/>
      <c r="T563" s="128"/>
    </row>
    <row r="564" spans="1:20" outlineLevel="1" x14ac:dyDescent="0.25">
      <c r="A564" s="4" t="s">
        <v>779</v>
      </c>
      <c r="B564" s="75" t="s">
        <v>992</v>
      </c>
      <c r="C564" s="25"/>
      <c r="D564" s="92">
        <v>1</v>
      </c>
      <c r="E564" s="110">
        <v>1000</v>
      </c>
      <c r="F564" s="93">
        <f t="shared" si="168"/>
        <v>1000</v>
      </c>
      <c r="G564" s="74">
        <f t="shared" si="152"/>
        <v>0</v>
      </c>
      <c r="H564" s="95">
        <f t="shared" si="169"/>
        <v>1000</v>
      </c>
      <c r="I564" s="112">
        <v>1000</v>
      </c>
      <c r="J564" s="57"/>
      <c r="K564" s="57"/>
      <c r="L564" s="57"/>
      <c r="M564" s="57"/>
      <c r="N564" s="57"/>
      <c r="O564" s="57"/>
      <c r="P564" s="68"/>
      <c r="Q564" s="58"/>
      <c r="R564" s="76"/>
      <c r="S564" s="76"/>
      <c r="T564" s="128"/>
    </row>
    <row r="565" spans="1:20" outlineLevel="1" x14ac:dyDescent="0.25">
      <c r="A565" s="4" t="s">
        <v>780</v>
      </c>
      <c r="B565" s="75" t="s">
        <v>47</v>
      </c>
      <c r="C565" s="25"/>
      <c r="D565" s="92"/>
      <c r="E565" s="110"/>
      <c r="F565" s="93">
        <f t="shared" si="168"/>
        <v>0</v>
      </c>
      <c r="G565" s="74">
        <f t="shared" si="152"/>
        <v>0</v>
      </c>
      <c r="H565" s="95">
        <f t="shared" si="169"/>
        <v>0</v>
      </c>
      <c r="I565" s="112"/>
      <c r="J565" s="57">
        <f t="shared" si="170"/>
        <v>0</v>
      </c>
      <c r="K565" s="57"/>
      <c r="L565" s="57"/>
      <c r="M565" s="57"/>
      <c r="N565" s="57"/>
      <c r="O565" s="57"/>
      <c r="P565" s="68"/>
      <c r="Q565" s="58"/>
      <c r="R565" s="76"/>
      <c r="S565" s="76"/>
      <c r="T565" s="128"/>
    </row>
    <row r="566" spans="1:20" s="3" customFormat="1" ht="15.75" x14ac:dyDescent="0.25">
      <c r="A566" s="7" t="s">
        <v>633</v>
      </c>
      <c r="B566" s="13" t="s">
        <v>250</v>
      </c>
      <c r="C566" s="23"/>
      <c r="D566" s="24"/>
      <c r="E566" s="17"/>
      <c r="F566" s="82">
        <f>SUM(F567:F569)</f>
        <v>6125</v>
      </c>
      <c r="G566" s="89">
        <f t="shared" si="152"/>
        <v>0</v>
      </c>
      <c r="H566" s="18">
        <f t="shared" ref="H566:H571" si="171">SUM(I566:Q566)</f>
        <v>6125</v>
      </c>
      <c r="I566" s="54">
        <f t="shared" ref="I566:Q566" si="172">SUM(I567:I569)</f>
        <v>6125</v>
      </c>
      <c r="J566" s="55">
        <f t="shared" si="172"/>
        <v>0</v>
      </c>
      <c r="K566" s="55">
        <f t="shared" si="172"/>
        <v>0</v>
      </c>
      <c r="L566" s="55">
        <f t="shared" si="172"/>
        <v>0</v>
      </c>
      <c r="M566" s="55">
        <f t="shared" si="172"/>
        <v>0</v>
      </c>
      <c r="N566" s="55">
        <f t="shared" si="172"/>
        <v>0</v>
      </c>
      <c r="O566" s="55">
        <f t="shared" si="172"/>
        <v>0</v>
      </c>
      <c r="P566" s="55">
        <f t="shared" si="172"/>
        <v>0</v>
      </c>
      <c r="Q566" s="56">
        <f t="shared" si="172"/>
        <v>0</v>
      </c>
      <c r="R566" s="33">
        <v>16061</v>
      </c>
      <c r="S566" s="33">
        <f>7715.28+1142.69+5053.52+126.07+312+200+42.25+18.68</f>
        <v>14610.49</v>
      </c>
      <c r="T566" s="127">
        <f>S566*100/R566</f>
        <v>90.96874416287902</v>
      </c>
    </row>
    <row r="567" spans="1:20" outlineLevel="1" x14ac:dyDescent="0.25">
      <c r="A567" s="4" t="s">
        <v>634</v>
      </c>
      <c r="B567" s="75" t="s">
        <v>813</v>
      </c>
      <c r="C567" s="25"/>
      <c r="D567" s="92">
        <v>5</v>
      </c>
      <c r="E567" s="110">
        <v>25</v>
      </c>
      <c r="F567" s="93">
        <f>D567*E567</f>
        <v>125</v>
      </c>
      <c r="G567" s="74">
        <f t="shared" si="152"/>
        <v>0</v>
      </c>
      <c r="H567" s="95">
        <f t="shared" si="171"/>
        <v>125</v>
      </c>
      <c r="I567" s="112">
        <f>F567</f>
        <v>125</v>
      </c>
      <c r="J567" s="57"/>
      <c r="K567" s="57"/>
      <c r="L567" s="57"/>
      <c r="M567" s="57"/>
      <c r="N567" s="57"/>
      <c r="O567" s="57"/>
      <c r="P567" s="68"/>
      <c r="Q567" s="58"/>
      <c r="R567" s="76"/>
      <c r="S567" s="76"/>
      <c r="T567" s="128"/>
    </row>
    <row r="568" spans="1:20" outlineLevel="1" x14ac:dyDescent="0.25">
      <c r="A568" s="4" t="s">
        <v>635</v>
      </c>
      <c r="B568" s="75" t="s">
        <v>837</v>
      </c>
      <c r="C568" s="25"/>
      <c r="D568" s="92">
        <v>1</v>
      </c>
      <c r="E568" s="110">
        <v>6000</v>
      </c>
      <c r="F568" s="93">
        <f>D568*E568</f>
        <v>6000</v>
      </c>
      <c r="G568" s="74">
        <f t="shared" si="152"/>
        <v>0</v>
      </c>
      <c r="H568" s="95">
        <f t="shared" si="171"/>
        <v>6000</v>
      </c>
      <c r="I568" s="112">
        <v>6000</v>
      </c>
      <c r="J568" s="57"/>
      <c r="K568" s="57"/>
      <c r="L568" s="57"/>
      <c r="M568" s="57"/>
      <c r="N568" s="57"/>
      <c r="O568" s="57"/>
      <c r="P568" s="68"/>
      <c r="Q568" s="58"/>
      <c r="R568" s="76"/>
      <c r="S568" s="76"/>
      <c r="T568" s="128"/>
    </row>
    <row r="569" spans="1:20" outlineLevel="1" x14ac:dyDescent="0.25">
      <c r="A569" s="4" t="s">
        <v>636</v>
      </c>
      <c r="B569" s="75" t="s">
        <v>47</v>
      </c>
      <c r="C569" s="25"/>
      <c r="D569" s="92"/>
      <c r="E569" s="110"/>
      <c r="F569" s="93">
        <f>D569*E569</f>
        <v>0</v>
      </c>
      <c r="G569" s="74">
        <f>H569-F569</f>
        <v>0</v>
      </c>
      <c r="H569" s="95">
        <f t="shared" si="171"/>
        <v>0</v>
      </c>
      <c r="I569" s="112"/>
      <c r="J569" s="57"/>
      <c r="K569" s="57"/>
      <c r="L569" s="57"/>
      <c r="M569" s="57"/>
      <c r="N569" s="57"/>
      <c r="O569" s="57"/>
      <c r="P569" s="68"/>
      <c r="Q569" s="58"/>
      <c r="R569" s="76"/>
      <c r="S569" s="76"/>
      <c r="T569" s="128"/>
    </row>
    <row r="570" spans="1:20" s="3" customFormat="1" ht="15.75" x14ac:dyDescent="0.25">
      <c r="A570" s="7" t="s">
        <v>639</v>
      </c>
      <c r="B570" s="13" t="s">
        <v>495</v>
      </c>
      <c r="C570" s="23"/>
      <c r="D570" s="24"/>
      <c r="E570" s="17"/>
      <c r="F570" s="82">
        <f>SUM(F571:F571)</f>
        <v>8550</v>
      </c>
      <c r="G570" s="89">
        <f>H570-F570</f>
        <v>0</v>
      </c>
      <c r="H570" s="18">
        <f t="shared" si="171"/>
        <v>8550</v>
      </c>
      <c r="I570" s="54">
        <f t="shared" ref="I570:Q570" si="173">SUM(I571:I571)</f>
        <v>0</v>
      </c>
      <c r="J570" s="55">
        <f t="shared" si="173"/>
        <v>8550</v>
      </c>
      <c r="K570" s="55">
        <f t="shared" si="173"/>
        <v>0</v>
      </c>
      <c r="L570" s="55">
        <f t="shared" si="173"/>
        <v>0</v>
      </c>
      <c r="M570" s="55">
        <f t="shared" si="173"/>
        <v>0</v>
      </c>
      <c r="N570" s="55">
        <f t="shared" si="173"/>
        <v>0</v>
      </c>
      <c r="O570" s="55">
        <f t="shared" si="173"/>
        <v>0</v>
      </c>
      <c r="P570" s="55">
        <f t="shared" si="173"/>
        <v>0</v>
      </c>
      <c r="Q570" s="56">
        <f t="shared" si="173"/>
        <v>0</v>
      </c>
      <c r="R570" s="33">
        <v>10100</v>
      </c>
      <c r="S570" s="33">
        <v>10100</v>
      </c>
      <c r="T570" s="127">
        <f>S570*100/R570</f>
        <v>100</v>
      </c>
    </row>
    <row r="571" spans="1:20" ht="15.75" outlineLevel="1" thickBot="1" x14ac:dyDescent="0.3">
      <c r="A571" s="130" t="s">
        <v>640</v>
      </c>
      <c r="B571" s="43" t="s">
        <v>495</v>
      </c>
      <c r="C571" s="44"/>
      <c r="D571" s="45">
        <v>1</v>
      </c>
      <c r="E571" s="46">
        <v>8550</v>
      </c>
      <c r="F571" s="87">
        <f>D571*E571</f>
        <v>8550</v>
      </c>
      <c r="G571" s="91">
        <f>H571-F571</f>
        <v>0</v>
      </c>
      <c r="H571" s="47">
        <f t="shared" si="171"/>
        <v>8550</v>
      </c>
      <c r="I571" s="63"/>
      <c r="J571" s="64">
        <f>F571</f>
        <v>8550</v>
      </c>
      <c r="K571" s="64"/>
      <c r="L571" s="64"/>
      <c r="M571" s="64"/>
      <c r="N571" s="64"/>
      <c r="O571" s="64"/>
      <c r="P571" s="70"/>
      <c r="Q571" s="65"/>
      <c r="R571" s="77"/>
      <c r="S571" s="77"/>
      <c r="T571" s="131"/>
    </row>
    <row r="572" spans="1:20" ht="15.75" thickTop="1" x14ac:dyDescent="0.25"/>
  </sheetData>
  <mergeCells count="3">
    <mergeCell ref="I1:Q1"/>
    <mergeCell ref="C1:F1"/>
    <mergeCell ref="R1:T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AG581"/>
  <sheetViews>
    <sheetView zoomScale="90" zoomScaleNormal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4" sqref="A4"/>
    </sheetView>
  </sheetViews>
  <sheetFormatPr defaultColWidth="9.140625" defaultRowHeight="15" outlineLevelRow="1" x14ac:dyDescent="0.25"/>
  <cols>
    <col min="1" max="1" width="11" style="1" bestFit="1" customWidth="1"/>
    <col min="2" max="2" width="52" customWidth="1"/>
    <col min="3" max="3" width="26.28515625" hidden="1" customWidth="1"/>
    <col min="4" max="4" width="5.28515625" hidden="1" customWidth="1"/>
    <col min="5" max="5" width="9.140625" hidden="1" customWidth="1"/>
    <col min="6" max="6" width="15.7109375" hidden="1" customWidth="1"/>
    <col min="7" max="7" width="9.5703125" style="66" hidden="1" customWidth="1"/>
    <col min="8" max="8" width="15.7109375" hidden="1" customWidth="1"/>
    <col min="9" max="9" width="10.140625" style="66" hidden="1" customWidth="1"/>
    <col min="10" max="10" width="10.28515625" style="66" hidden="1" customWidth="1"/>
    <col min="11" max="11" width="10.42578125" style="66" hidden="1" customWidth="1"/>
    <col min="12" max="12" width="11.7109375" style="66" hidden="1" customWidth="1"/>
    <col min="13" max="14" width="10" style="66" hidden="1" customWidth="1"/>
    <col min="15" max="16" width="9.7109375" style="66" hidden="1" customWidth="1"/>
    <col min="17" max="17" width="8.7109375" style="66" hidden="1" customWidth="1"/>
    <col min="18" max="18" width="15.7109375" style="175" customWidth="1"/>
    <col min="19" max="19" width="13.140625" style="66" customWidth="1"/>
    <col min="20" max="29" width="13.140625" style="163" customWidth="1"/>
    <col min="30" max="30" width="20.28515625" hidden="1" customWidth="1"/>
    <col min="31" max="31" width="20.140625" hidden="1" customWidth="1"/>
    <col min="32" max="32" width="15.7109375" hidden="1" customWidth="1"/>
  </cols>
  <sheetData>
    <row r="1" spans="1:32" ht="15.75" thickTop="1" x14ac:dyDescent="0.25">
      <c r="A1" s="34"/>
      <c r="B1" s="35"/>
      <c r="C1" s="579" t="s">
        <v>1020</v>
      </c>
      <c r="D1" s="579"/>
      <c r="E1" s="579"/>
      <c r="F1" s="580"/>
      <c r="G1" s="73" t="s">
        <v>92</v>
      </c>
      <c r="H1" s="14"/>
      <c r="I1" s="575" t="s">
        <v>1021</v>
      </c>
      <c r="J1" s="576"/>
      <c r="K1" s="576"/>
      <c r="L1" s="576"/>
      <c r="M1" s="576"/>
      <c r="N1" s="576"/>
      <c r="O1" s="576"/>
      <c r="P1" s="577"/>
      <c r="Q1" s="578"/>
      <c r="R1" s="164"/>
      <c r="S1" s="582" t="s">
        <v>1009</v>
      </c>
      <c r="T1" s="582"/>
      <c r="U1" s="582"/>
      <c r="V1" s="583"/>
      <c r="W1" s="583"/>
      <c r="X1" s="583"/>
      <c r="Y1" s="583"/>
      <c r="Z1" s="583"/>
      <c r="AA1" s="583"/>
      <c r="AB1" s="584"/>
      <c r="AC1" s="585"/>
      <c r="AD1" s="577">
        <v>2014</v>
      </c>
      <c r="AE1" s="579"/>
      <c r="AF1" s="581"/>
    </row>
    <row r="2" spans="1:32" ht="45" x14ac:dyDescent="0.25">
      <c r="A2" s="9" t="s">
        <v>7</v>
      </c>
      <c r="B2" s="11" t="s">
        <v>8</v>
      </c>
      <c r="C2" s="20" t="s">
        <v>94</v>
      </c>
      <c r="D2" s="10" t="s">
        <v>89</v>
      </c>
      <c r="E2" s="10" t="s">
        <v>90</v>
      </c>
      <c r="F2" s="31" t="s">
        <v>93</v>
      </c>
      <c r="G2" s="88" t="s">
        <v>690</v>
      </c>
      <c r="H2" s="19" t="s">
        <v>91</v>
      </c>
      <c r="I2" s="78" t="s">
        <v>44</v>
      </c>
      <c r="J2" s="79" t="s">
        <v>88</v>
      </c>
      <c r="K2" s="79" t="s">
        <v>45</v>
      </c>
      <c r="L2" s="79" t="s">
        <v>46</v>
      </c>
      <c r="M2" s="79" t="s">
        <v>885</v>
      </c>
      <c r="N2" s="79" t="s">
        <v>60</v>
      </c>
      <c r="O2" s="79" t="s">
        <v>886</v>
      </c>
      <c r="P2" s="71" t="s">
        <v>693</v>
      </c>
      <c r="Q2" s="80" t="s">
        <v>47</v>
      </c>
      <c r="R2" s="165" t="s">
        <v>93</v>
      </c>
      <c r="S2" s="88" t="s">
        <v>690</v>
      </c>
      <c r="T2" s="136" t="s">
        <v>1019</v>
      </c>
      <c r="U2" s="136" t="s">
        <v>44</v>
      </c>
      <c r="V2" s="137" t="s">
        <v>88</v>
      </c>
      <c r="W2" s="137" t="s">
        <v>45</v>
      </c>
      <c r="X2" s="137" t="s">
        <v>46</v>
      </c>
      <c r="Y2" s="137" t="s">
        <v>885</v>
      </c>
      <c r="Z2" s="137" t="s">
        <v>60</v>
      </c>
      <c r="AA2" s="137" t="s">
        <v>886</v>
      </c>
      <c r="AB2" s="138" t="s">
        <v>693</v>
      </c>
      <c r="AC2" s="139" t="s">
        <v>47</v>
      </c>
      <c r="AD2" s="31" t="s">
        <v>689</v>
      </c>
      <c r="AE2" s="31" t="s">
        <v>969</v>
      </c>
      <c r="AF2" s="123" t="s">
        <v>970</v>
      </c>
    </row>
    <row r="3" spans="1:32" ht="24" x14ac:dyDescent="0.35">
      <c r="A3" s="96"/>
      <c r="B3" s="97"/>
      <c r="C3" s="98"/>
      <c r="D3" s="99"/>
      <c r="E3" s="99"/>
      <c r="F3" s="100"/>
      <c r="G3" s="101"/>
      <c r="H3" s="41"/>
      <c r="I3" s="102"/>
      <c r="J3" s="103"/>
      <c r="K3" s="103"/>
      <c r="L3" s="103"/>
      <c r="M3" s="103"/>
      <c r="N3" s="103"/>
      <c r="O3" s="103"/>
      <c r="P3" s="104"/>
      <c r="Q3" s="107" t="s">
        <v>953</v>
      </c>
      <c r="R3" s="166"/>
      <c r="S3" s="101"/>
      <c r="T3" s="216"/>
      <c r="U3" s="140"/>
      <c r="V3" s="141"/>
      <c r="W3" s="141"/>
      <c r="X3" s="141"/>
      <c r="Y3" s="141"/>
      <c r="Z3" s="141"/>
      <c r="AA3" s="141"/>
      <c r="AB3" s="142"/>
      <c r="AC3" s="143"/>
      <c r="AD3" s="100"/>
      <c r="AE3" s="100"/>
      <c r="AF3" s="124"/>
    </row>
    <row r="4" spans="1:32" s="42" customFormat="1" ht="23.25" x14ac:dyDescent="0.35">
      <c r="A4" s="36"/>
      <c r="B4" s="37" t="s">
        <v>76</v>
      </c>
      <c r="C4" s="39"/>
      <c r="D4" s="40"/>
      <c r="E4" s="40"/>
      <c r="F4" s="83">
        <f>F5+F23+F37+F86+F151+F168+F210+F231+F255+F268+F324+F357+F377+F400+F433+F455+F482+F502+F519</f>
        <v>1972570.2</v>
      </c>
      <c r="G4" s="89">
        <f>H4-F4</f>
        <v>6634.5084807497915</v>
      </c>
      <c r="H4" s="41">
        <f t="shared" ref="H4:H34" si="0">SUM(I4:Q4)</f>
        <v>1979204.7084807497</v>
      </c>
      <c r="I4" s="48">
        <f t="shared" ref="I4:R4" si="1">I5+I23+I37+I86+I151+I168+I210+I231+I255+I268+I324+I357+I377+I400+I433+I455+I482+I502+I519</f>
        <v>593925.86199999996</v>
      </c>
      <c r="J4" s="49">
        <f t="shared" si="1"/>
        <v>551233</v>
      </c>
      <c r="K4" s="49">
        <f t="shared" si="1"/>
        <v>282687.07199999999</v>
      </c>
      <c r="L4" s="49">
        <f t="shared" si="1"/>
        <v>198879.65999999997</v>
      </c>
      <c r="M4" s="49">
        <f t="shared" si="1"/>
        <v>20575</v>
      </c>
      <c r="N4" s="49">
        <f t="shared" si="1"/>
        <v>53030</v>
      </c>
      <c r="O4" s="49">
        <f t="shared" si="1"/>
        <v>10400</v>
      </c>
      <c r="P4" s="49">
        <f t="shared" si="1"/>
        <v>209749.71448074997</v>
      </c>
      <c r="Q4" s="50">
        <f t="shared" si="1"/>
        <v>58724.4</v>
      </c>
      <c r="R4" s="167">
        <f t="shared" si="1"/>
        <v>430562.80833333341</v>
      </c>
      <c r="S4" s="89">
        <f>T4-R4</f>
        <v>29401.061666666588</v>
      </c>
      <c r="T4" s="216">
        <f>+U4+V4+W4+X4+Y4+Z4+AA4+AB4+AC4</f>
        <v>459963.87</v>
      </c>
      <c r="U4" s="144">
        <f t="shared" ref="U4:AE4" si="2">U5+U23+U37+U86+U151+U168+U210+U231+U255+U268+U324+U357+U377+U400+U433+U455+U482+U502+U519</f>
        <v>233929</v>
      </c>
      <c r="V4" s="144">
        <f t="shared" si="2"/>
        <v>106197.15</v>
      </c>
      <c r="W4" s="218">
        <f t="shared" si="2"/>
        <v>101504</v>
      </c>
      <c r="X4" s="218">
        <f t="shared" si="2"/>
        <v>114.72</v>
      </c>
      <c r="Y4" s="144">
        <f t="shared" si="2"/>
        <v>0</v>
      </c>
      <c r="Z4" s="144">
        <f t="shared" si="2"/>
        <v>3958</v>
      </c>
      <c r="AA4" s="144">
        <f t="shared" si="2"/>
        <v>2468</v>
      </c>
      <c r="AB4" s="144">
        <f t="shared" si="2"/>
        <v>0</v>
      </c>
      <c r="AC4" s="144">
        <f t="shared" si="2"/>
        <v>11793</v>
      </c>
      <c r="AD4" s="38">
        <f t="shared" si="2"/>
        <v>2111120</v>
      </c>
      <c r="AE4" s="38">
        <f t="shared" si="2"/>
        <v>1829085.51</v>
      </c>
      <c r="AF4" s="125">
        <f>AE4*100/AD4</f>
        <v>86.64052777672515</v>
      </c>
    </row>
    <row r="5" spans="1:32" s="2" customFormat="1" ht="21" x14ac:dyDescent="0.35">
      <c r="A5" s="8" t="s">
        <v>325</v>
      </c>
      <c r="B5" s="12" t="s">
        <v>523</v>
      </c>
      <c r="C5" s="21"/>
      <c r="D5" s="22"/>
      <c r="E5" s="22"/>
      <c r="F5" s="84">
        <f>F6+F17</f>
        <v>242741</v>
      </c>
      <c r="G5" s="89">
        <f>H5-F5</f>
        <v>0</v>
      </c>
      <c r="H5" s="16">
        <f t="shared" si="0"/>
        <v>242741</v>
      </c>
      <c r="I5" s="51">
        <f>I6+I17</f>
        <v>236741</v>
      </c>
      <c r="J5" s="52">
        <f t="shared" ref="J5:Q5" si="3">J6+J17</f>
        <v>6000</v>
      </c>
      <c r="K5" s="52">
        <f t="shared" si="3"/>
        <v>0</v>
      </c>
      <c r="L5" s="52">
        <f t="shared" si="3"/>
        <v>0</v>
      </c>
      <c r="M5" s="52">
        <f t="shared" si="3"/>
        <v>0</v>
      </c>
      <c r="N5" s="52">
        <f t="shared" si="3"/>
        <v>0</v>
      </c>
      <c r="O5" s="52">
        <f t="shared" si="3"/>
        <v>0</v>
      </c>
      <c r="P5" s="52">
        <f t="shared" si="3"/>
        <v>0</v>
      </c>
      <c r="Q5" s="53">
        <f t="shared" si="3"/>
        <v>0</v>
      </c>
      <c r="R5" s="168">
        <f>R6+R17</f>
        <v>68938.923333333325</v>
      </c>
      <c r="S5" s="89">
        <f t="shared" ref="S5:S68" si="4">T5-R5</f>
        <v>171295.07666666666</v>
      </c>
      <c r="T5" s="216">
        <f t="shared" ref="T5:T68" si="5">+U5+V5+W5+X5+Y5+Z5+AA5+AB5+AC5</f>
        <v>240234</v>
      </c>
      <c r="U5" s="144">
        <v>233929</v>
      </c>
      <c r="V5" s="144">
        <v>2116</v>
      </c>
      <c r="W5" s="145">
        <f t="shared" ref="W5:AB5" si="6">W6+W17</f>
        <v>0</v>
      </c>
      <c r="X5" s="145">
        <f t="shared" si="6"/>
        <v>0</v>
      </c>
      <c r="Y5" s="145">
        <f t="shared" si="6"/>
        <v>0</v>
      </c>
      <c r="Z5" s="145">
        <v>2544</v>
      </c>
      <c r="AA5" s="145">
        <f t="shared" si="6"/>
        <v>0</v>
      </c>
      <c r="AB5" s="145">
        <f t="shared" si="6"/>
        <v>0</v>
      </c>
      <c r="AC5" s="146">
        <v>1645</v>
      </c>
      <c r="AD5" s="32">
        <f>AD6+AD17</f>
        <v>217059</v>
      </c>
      <c r="AE5" s="32">
        <f>AE6+AE17</f>
        <v>220446.15</v>
      </c>
      <c r="AF5" s="126">
        <f>AE5*100/AD5</f>
        <v>101.56047434107776</v>
      </c>
    </row>
    <row r="6" spans="1:32" s="3" customFormat="1" ht="15.75" x14ac:dyDescent="0.25">
      <c r="A6" s="7" t="s">
        <v>326</v>
      </c>
      <c r="B6" s="13" t="s">
        <v>327</v>
      </c>
      <c r="C6" s="23"/>
      <c r="D6" s="24"/>
      <c r="E6" s="17"/>
      <c r="F6" s="82">
        <f>SUM(F7:F16)</f>
        <v>52600</v>
      </c>
      <c r="G6" s="89">
        <f t="shared" ref="G6:G75" si="7">H6-F6</f>
        <v>0</v>
      </c>
      <c r="H6" s="18">
        <f t="shared" si="0"/>
        <v>52600</v>
      </c>
      <c r="I6" s="54">
        <f>SUM(I7:I16)</f>
        <v>52600</v>
      </c>
      <c r="J6" s="54">
        <f>SUM(J7:J14)</f>
        <v>0</v>
      </c>
      <c r="K6" s="54">
        <f>SUM(K7:K14)</f>
        <v>0</v>
      </c>
      <c r="L6" s="55">
        <f>SUM(L7:L14)</f>
        <v>0</v>
      </c>
      <c r="M6" s="55">
        <f>SUM(M7:M14)</f>
        <v>0</v>
      </c>
      <c r="N6" s="55">
        <f>SUM(N7:N16)</f>
        <v>0</v>
      </c>
      <c r="O6" s="55">
        <f>SUM(O7:O14)</f>
        <v>0</v>
      </c>
      <c r="P6" s="55">
        <f>SUM(P7:P14)</f>
        <v>0</v>
      </c>
      <c r="Q6" s="56">
        <f>SUM(Q7:Q14)</f>
        <v>0</v>
      </c>
      <c r="R6" s="169">
        <f>SUM(R7:R16)</f>
        <v>12259.823333333332</v>
      </c>
      <c r="S6" s="89">
        <f t="shared" si="4"/>
        <v>-12259.823333333332</v>
      </c>
      <c r="T6" s="216">
        <f t="shared" si="5"/>
        <v>0</v>
      </c>
      <c r="U6" s="144">
        <f>SUM(U7:U16)</f>
        <v>0</v>
      </c>
      <c r="V6" s="144">
        <f>SUM(V7:V14)</f>
        <v>0</v>
      </c>
      <c r="W6" s="144">
        <f>SUM(W7:W14)</f>
        <v>0</v>
      </c>
      <c r="X6" s="145">
        <f>SUM(X7:X14)</f>
        <v>0</v>
      </c>
      <c r="Y6" s="145">
        <f>SUM(Y7:Y14)</f>
        <v>0</v>
      </c>
      <c r="Z6" s="145">
        <f>SUM(Z7:Z16)</f>
        <v>0</v>
      </c>
      <c r="AA6" s="145">
        <f>SUM(AA7:AA14)</f>
        <v>0</v>
      </c>
      <c r="AB6" s="145">
        <f>SUM(AB7:AB14)</f>
        <v>0</v>
      </c>
      <c r="AC6" s="146">
        <f>SUM(AC7:AC14)</f>
        <v>0</v>
      </c>
      <c r="AD6" s="33">
        <v>59786</v>
      </c>
      <c r="AE6" s="33">
        <f>84838.95+46356.1+3128.1-73-69538.5</f>
        <v>64711.649999999994</v>
      </c>
      <c r="AF6" s="127">
        <f>AE6*100/AD6</f>
        <v>108.23880172615661</v>
      </c>
    </row>
    <row r="7" spans="1:32" outlineLevel="1" x14ac:dyDescent="0.25">
      <c r="A7" s="4" t="s">
        <v>329</v>
      </c>
      <c r="B7" s="75" t="s">
        <v>525</v>
      </c>
      <c r="C7" s="25"/>
      <c r="D7" s="92">
        <v>1</v>
      </c>
      <c r="E7" s="110">
        <v>15000</v>
      </c>
      <c r="F7" s="93">
        <f>D7*E7</f>
        <v>15000</v>
      </c>
      <c r="G7" s="74">
        <f t="shared" si="7"/>
        <v>0</v>
      </c>
      <c r="H7" s="95">
        <f t="shared" si="0"/>
        <v>15000</v>
      </c>
      <c r="I7" s="112">
        <f>F7</f>
        <v>15000</v>
      </c>
      <c r="J7" s="57"/>
      <c r="K7" s="57"/>
      <c r="L7" s="57"/>
      <c r="M7" s="57"/>
      <c r="N7" s="57"/>
      <c r="O7" s="57"/>
      <c r="P7" s="68"/>
      <c r="Q7" s="58"/>
      <c r="R7" s="170">
        <f>16151.89/12*4</f>
        <v>5383.9633333333331</v>
      </c>
      <c r="S7" s="89">
        <f t="shared" si="4"/>
        <v>-5383.9633333333331</v>
      </c>
      <c r="T7" s="216">
        <f t="shared" si="5"/>
        <v>0</v>
      </c>
      <c r="U7" s="147"/>
      <c r="V7" s="148"/>
      <c r="W7" s="148"/>
      <c r="X7" s="148"/>
      <c r="Y7" s="148"/>
      <c r="Z7" s="148"/>
      <c r="AA7" s="148"/>
      <c r="AB7" s="149"/>
      <c r="AC7" s="150"/>
      <c r="AD7" s="76"/>
      <c r="AE7" s="76"/>
      <c r="AF7" s="128"/>
    </row>
    <row r="8" spans="1:32" outlineLevel="1" x14ac:dyDescent="0.25">
      <c r="A8" s="4" t="s">
        <v>330</v>
      </c>
      <c r="B8" s="75" t="s">
        <v>526</v>
      </c>
      <c r="C8" s="25"/>
      <c r="D8" s="92">
        <v>1</v>
      </c>
      <c r="E8" s="110">
        <v>15000</v>
      </c>
      <c r="F8" s="93">
        <f t="shared" ref="F8:F22" si="8">D8*E8</f>
        <v>15000</v>
      </c>
      <c r="G8" s="74">
        <f t="shared" si="7"/>
        <v>0</v>
      </c>
      <c r="H8" s="95">
        <f t="shared" si="0"/>
        <v>15000</v>
      </c>
      <c r="I8" s="112">
        <f t="shared" ref="I8:I16" si="9">F8</f>
        <v>15000</v>
      </c>
      <c r="J8" s="57"/>
      <c r="K8" s="57"/>
      <c r="L8" s="57"/>
      <c r="M8" s="57"/>
      <c r="N8" s="57"/>
      <c r="O8" s="57"/>
      <c r="P8" s="68"/>
      <c r="Q8" s="58"/>
      <c r="R8" s="170">
        <v>4051.19</v>
      </c>
      <c r="S8" s="89">
        <f t="shared" si="4"/>
        <v>-4051.19</v>
      </c>
      <c r="T8" s="216">
        <f t="shared" si="5"/>
        <v>0</v>
      </c>
      <c r="U8" s="147"/>
      <c r="V8" s="148"/>
      <c r="W8" s="148"/>
      <c r="X8" s="148"/>
      <c r="Y8" s="148"/>
      <c r="Z8" s="148"/>
      <c r="AA8" s="148"/>
      <c r="AB8" s="149"/>
      <c r="AC8" s="150"/>
      <c r="AD8" s="76"/>
      <c r="AE8" s="76"/>
      <c r="AF8" s="128"/>
    </row>
    <row r="9" spans="1:32" outlineLevel="1" x14ac:dyDescent="0.25">
      <c r="A9" s="4" t="s">
        <v>702</v>
      </c>
      <c r="B9" s="75" t="s">
        <v>524</v>
      </c>
      <c r="C9" s="25"/>
      <c r="D9" s="92">
        <v>1</v>
      </c>
      <c r="E9" s="110">
        <v>11000</v>
      </c>
      <c r="F9" s="93">
        <f t="shared" si="8"/>
        <v>11000</v>
      </c>
      <c r="G9" s="74">
        <f t="shared" si="7"/>
        <v>0</v>
      </c>
      <c r="H9" s="95">
        <f t="shared" si="0"/>
        <v>11000</v>
      </c>
      <c r="I9" s="112">
        <f t="shared" si="9"/>
        <v>11000</v>
      </c>
      <c r="J9" s="57"/>
      <c r="K9" s="57"/>
      <c r="L9" s="57"/>
      <c r="M9" s="57"/>
      <c r="N9" s="57"/>
      <c r="O9" s="57"/>
      <c r="P9" s="68"/>
      <c r="Q9" s="58"/>
      <c r="R9" s="170"/>
      <c r="S9" s="89">
        <f t="shared" si="4"/>
        <v>0</v>
      </c>
      <c r="T9" s="216">
        <f t="shared" si="5"/>
        <v>0</v>
      </c>
      <c r="U9" s="147"/>
      <c r="V9" s="148"/>
      <c r="W9" s="148"/>
      <c r="X9" s="148"/>
      <c r="Y9" s="148"/>
      <c r="Z9" s="148"/>
      <c r="AA9" s="148"/>
      <c r="AB9" s="149"/>
      <c r="AC9" s="150"/>
      <c r="AD9" s="76"/>
      <c r="AE9" s="76"/>
      <c r="AF9" s="128"/>
    </row>
    <row r="10" spans="1:32" outlineLevel="1" x14ac:dyDescent="0.25">
      <c r="A10" s="4" t="s">
        <v>703</v>
      </c>
      <c r="B10" s="75" t="s">
        <v>527</v>
      </c>
      <c r="C10" s="25"/>
      <c r="D10" s="92">
        <v>1</v>
      </c>
      <c r="E10" s="110">
        <v>500</v>
      </c>
      <c r="F10" s="93">
        <f t="shared" si="8"/>
        <v>500</v>
      </c>
      <c r="G10" s="74">
        <f t="shared" si="7"/>
        <v>0</v>
      </c>
      <c r="H10" s="95">
        <f t="shared" si="0"/>
        <v>500</v>
      </c>
      <c r="I10" s="112">
        <f t="shared" si="9"/>
        <v>500</v>
      </c>
      <c r="J10" s="57"/>
      <c r="K10" s="57"/>
      <c r="L10" s="57"/>
      <c r="M10" s="57"/>
      <c r="N10" s="57"/>
      <c r="O10" s="57"/>
      <c r="P10" s="68"/>
      <c r="Q10" s="58"/>
      <c r="R10" s="170">
        <v>540</v>
      </c>
      <c r="S10" s="89">
        <f t="shared" si="4"/>
        <v>-540</v>
      </c>
      <c r="T10" s="216">
        <f t="shared" si="5"/>
        <v>0</v>
      </c>
      <c r="U10" s="147"/>
      <c r="V10" s="148"/>
      <c r="W10" s="148"/>
      <c r="X10" s="148"/>
      <c r="Y10" s="148"/>
      <c r="Z10" s="148"/>
      <c r="AA10" s="148"/>
      <c r="AB10" s="149"/>
      <c r="AC10" s="150"/>
      <c r="AD10" s="76"/>
      <c r="AE10" s="76"/>
      <c r="AF10" s="128"/>
    </row>
    <row r="11" spans="1:32" outlineLevel="1" x14ac:dyDescent="0.25">
      <c r="A11" s="4" t="s">
        <v>704</v>
      </c>
      <c r="B11" s="75" t="s">
        <v>528</v>
      </c>
      <c r="C11" s="25"/>
      <c r="D11" s="92">
        <v>1</v>
      </c>
      <c r="E11" s="110">
        <v>500</v>
      </c>
      <c r="F11" s="93">
        <f t="shared" si="8"/>
        <v>500</v>
      </c>
      <c r="G11" s="74">
        <f t="shared" si="7"/>
        <v>0</v>
      </c>
      <c r="H11" s="95">
        <f t="shared" si="0"/>
        <v>500</v>
      </c>
      <c r="I11" s="112">
        <f t="shared" si="9"/>
        <v>500</v>
      </c>
      <c r="J11" s="57"/>
      <c r="K11" s="57"/>
      <c r="L11" s="57"/>
      <c r="M11" s="57"/>
      <c r="N11" s="57"/>
      <c r="O11" s="57"/>
      <c r="P11" s="68"/>
      <c r="Q11" s="58"/>
      <c r="R11" s="170">
        <v>11.81</v>
      </c>
      <c r="S11" s="89">
        <f t="shared" si="4"/>
        <v>-11.81</v>
      </c>
      <c r="T11" s="216">
        <f t="shared" si="5"/>
        <v>0</v>
      </c>
      <c r="U11" s="147"/>
      <c r="V11" s="148"/>
      <c r="W11" s="148"/>
      <c r="X11" s="148"/>
      <c r="Y11" s="148"/>
      <c r="Z11" s="148"/>
      <c r="AA11" s="148"/>
      <c r="AB11" s="149"/>
      <c r="AC11" s="150"/>
      <c r="AD11" s="76"/>
      <c r="AE11" s="76"/>
      <c r="AF11" s="128"/>
    </row>
    <row r="12" spans="1:32" outlineLevel="1" x14ac:dyDescent="0.25">
      <c r="A12" s="4" t="s">
        <v>705</v>
      </c>
      <c r="B12" s="75" t="s">
        <v>529</v>
      </c>
      <c r="C12" s="25"/>
      <c r="D12" s="92">
        <v>1</v>
      </c>
      <c r="E12" s="110">
        <v>1500</v>
      </c>
      <c r="F12" s="93">
        <f t="shared" si="8"/>
        <v>1500</v>
      </c>
      <c r="G12" s="74">
        <f t="shared" si="7"/>
        <v>0</v>
      </c>
      <c r="H12" s="95">
        <f t="shared" si="0"/>
        <v>1500</v>
      </c>
      <c r="I12" s="112">
        <f t="shared" si="9"/>
        <v>1500</v>
      </c>
      <c r="J12" s="57"/>
      <c r="K12" s="57"/>
      <c r="L12" s="57"/>
      <c r="M12" s="57"/>
      <c r="N12" s="57"/>
      <c r="O12" s="57"/>
      <c r="P12" s="68"/>
      <c r="Q12" s="58"/>
      <c r="R12" s="170"/>
      <c r="S12" s="89">
        <f t="shared" si="4"/>
        <v>0</v>
      </c>
      <c r="T12" s="216">
        <f t="shared" si="5"/>
        <v>0</v>
      </c>
      <c r="U12" s="147"/>
      <c r="V12" s="148"/>
      <c r="W12" s="148"/>
      <c r="X12" s="148"/>
      <c r="Y12" s="148"/>
      <c r="Z12" s="148"/>
      <c r="AA12" s="148"/>
      <c r="AB12" s="149"/>
      <c r="AC12" s="150"/>
      <c r="AD12" s="76"/>
      <c r="AE12" s="76"/>
      <c r="AF12" s="128"/>
    </row>
    <row r="13" spans="1:32" outlineLevel="1" x14ac:dyDescent="0.25">
      <c r="A13" s="4" t="s">
        <v>706</v>
      </c>
      <c r="B13" s="75" t="s">
        <v>530</v>
      </c>
      <c r="C13" s="25"/>
      <c r="D13" s="92">
        <v>1</v>
      </c>
      <c r="E13" s="110">
        <v>50</v>
      </c>
      <c r="F13" s="93">
        <f t="shared" si="8"/>
        <v>50</v>
      </c>
      <c r="G13" s="74">
        <f t="shared" si="7"/>
        <v>0</v>
      </c>
      <c r="H13" s="95">
        <f t="shared" si="0"/>
        <v>50</v>
      </c>
      <c r="I13" s="112">
        <f t="shared" si="9"/>
        <v>50</v>
      </c>
      <c r="J13" s="57"/>
      <c r="K13" s="57"/>
      <c r="L13" s="57"/>
      <c r="M13" s="57"/>
      <c r="N13" s="57"/>
      <c r="O13" s="57"/>
      <c r="P13" s="68"/>
      <c r="Q13" s="58"/>
      <c r="R13" s="170"/>
      <c r="S13" s="89">
        <f t="shared" si="4"/>
        <v>0</v>
      </c>
      <c r="T13" s="216">
        <f t="shared" si="5"/>
        <v>0</v>
      </c>
      <c r="U13" s="147"/>
      <c r="V13" s="148"/>
      <c r="W13" s="148"/>
      <c r="X13" s="148"/>
      <c r="Y13" s="148"/>
      <c r="Z13" s="148"/>
      <c r="AA13" s="148"/>
      <c r="AB13" s="149"/>
      <c r="AC13" s="150"/>
      <c r="AD13" s="76"/>
      <c r="AE13" s="76"/>
      <c r="AF13" s="128"/>
    </row>
    <row r="14" spans="1:32" outlineLevel="1" x14ac:dyDescent="0.25">
      <c r="A14" s="4" t="s">
        <v>707</v>
      </c>
      <c r="B14" s="75" t="s">
        <v>531</v>
      </c>
      <c r="C14" s="25"/>
      <c r="D14" s="92">
        <v>1</v>
      </c>
      <c r="E14" s="110">
        <v>300</v>
      </c>
      <c r="F14" s="93">
        <f t="shared" si="8"/>
        <v>300</v>
      </c>
      <c r="G14" s="74">
        <f t="shared" si="7"/>
        <v>0</v>
      </c>
      <c r="H14" s="95">
        <f t="shared" si="0"/>
        <v>300</v>
      </c>
      <c r="I14" s="112">
        <f t="shared" si="9"/>
        <v>300</v>
      </c>
      <c r="J14" s="57"/>
      <c r="K14" s="57"/>
      <c r="L14" s="57"/>
      <c r="M14" s="57"/>
      <c r="N14" s="57"/>
      <c r="O14" s="57"/>
      <c r="P14" s="68"/>
      <c r="Q14" s="58"/>
      <c r="R14" s="170"/>
      <c r="S14" s="89">
        <f t="shared" si="4"/>
        <v>0</v>
      </c>
      <c r="T14" s="216">
        <f t="shared" si="5"/>
        <v>0</v>
      </c>
      <c r="U14" s="147"/>
      <c r="V14" s="148"/>
      <c r="W14" s="148"/>
      <c r="X14" s="148"/>
      <c r="Y14" s="148"/>
      <c r="Z14" s="148"/>
      <c r="AA14" s="148"/>
      <c r="AB14" s="149"/>
      <c r="AC14" s="150"/>
      <c r="AD14" s="76"/>
      <c r="AE14" s="76"/>
      <c r="AF14" s="128"/>
    </row>
    <row r="15" spans="1:32" outlineLevel="1" x14ac:dyDescent="0.25">
      <c r="A15" s="4" t="s">
        <v>708</v>
      </c>
      <c r="B15" s="75" t="s">
        <v>882</v>
      </c>
      <c r="C15" s="25"/>
      <c r="D15" s="92">
        <v>1</v>
      </c>
      <c r="E15" s="110">
        <v>8750</v>
      </c>
      <c r="F15" s="93">
        <f t="shared" si="8"/>
        <v>8750</v>
      </c>
      <c r="G15" s="74">
        <f t="shared" si="7"/>
        <v>0</v>
      </c>
      <c r="H15" s="95">
        <f t="shared" si="0"/>
        <v>8750</v>
      </c>
      <c r="I15" s="112">
        <v>8750</v>
      </c>
      <c r="J15" s="57"/>
      <c r="K15" s="57"/>
      <c r="L15" s="57"/>
      <c r="M15" s="57"/>
      <c r="N15" s="57"/>
      <c r="O15" s="57"/>
      <c r="P15" s="68"/>
      <c r="Q15" s="58"/>
      <c r="R15" s="170">
        <v>1918.06</v>
      </c>
      <c r="S15" s="89">
        <f t="shared" si="4"/>
        <v>-1918.06</v>
      </c>
      <c r="T15" s="216">
        <f t="shared" si="5"/>
        <v>0</v>
      </c>
      <c r="U15" s="147"/>
      <c r="V15" s="148"/>
      <c r="W15" s="148"/>
      <c r="X15" s="148"/>
      <c r="Y15" s="148"/>
      <c r="Z15" s="148"/>
      <c r="AA15" s="148"/>
      <c r="AB15" s="149"/>
      <c r="AC15" s="150"/>
      <c r="AD15" s="76"/>
      <c r="AE15" s="76"/>
      <c r="AF15" s="128"/>
    </row>
    <row r="16" spans="1:32" outlineLevel="1" x14ac:dyDescent="0.25">
      <c r="A16" s="4" t="s">
        <v>709</v>
      </c>
      <c r="B16" s="75" t="s">
        <v>47</v>
      </c>
      <c r="C16" s="25"/>
      <c r="D16" s="92">
        <v>1</v>
      </c>
      <c r="E16" s="110">
        <v>0</v>
      </c>
      <c r="F16" s="93">
        <f t="shared" si="8"/>
        <v>0</v>
      </c>
      <c r="G16" s="74">
        <f t="shared" si="7"/>
        <v>0</v>
      </c>
      <c r="H16" s="95">
        <f t="shared" si="0"/>
        <v>0</v>
      </c>
      <c r="I16" s="112">
        <f t="shared" si="9"/>
        <v>0</v>
      </c>
      <c r="J16" s="57"/>
      <c r="K16" s="57"/>
      <c r="L16" s="57"/>
      <c r="M16" s="57"/>
      <c r="N16" s="57"/>
      <c r="O16" s="57"/>
      <c r="P16" s="68"/>
      <c r="Q16" s="58"/>
      <c r="R16" s="170">
        <f>356.96-2.16</f>
        <v>354.79999999999995</v>
      </c>
      <c r="S16" s="89">
        <f t="shared" si="4"/>
        <v>-354.79999999999995</v>
      </c>
      <c r="T16" s="216">
        <f t="shared" si="5"/>
        <v>0</v>
      </c>
      <c r="U16" s="147">
        <f>Q16</f>
        <v>0</v>
      </c>
      <c r="V16" s="148"/>
      <c r="W16" s="148"/>
      <c r="X16" s="148"/>
      <c r="Y16" s="148"/>
      <c r="Z16" s="148"/>
      <c r="AA16" s="148"/>
      <c r="AB16" s="149"/>
      <c r="AC16" s="150"/>
      <c r="AD16" s="76"/>
      <c r="AE16" s="76"/>
      <c r="AF16" s="128"/>
    </row>
    <row r="17" spans="1:32" s="3" customFormat="1" ht="15.75" x14ac:dyDescent="0.25">
      <c r="A17" s="7" t="s">
        <v>331</v>
      </c>
      <c r="B17" s="13" t="s">
        <v>328</v>
      </c>
      <c r="C17" s="23"/>
      <c r="D17" s="24"/>
      <c r="E17" s="17"/>
      <c r="F17" s="82">
        <f>SUM(F18:F22)</f>
        <v>190141</v>
      </c>
      <c r="G17" s="89">
        <f t="shared" si="7"/>
        <v>0</v>
      </c>
      <c r="H17" s="18">
        <f t="shared" si="0"/>
        <v>190141</v>
      </c>
      <c r="I17" s="54">
        <f t="shared" ref="I17:Q17" si="10">SUM(I18:I22)</f>
        <v>184141</v>
      </c>
      <c r="J17" s="55">
        <f t="shared" si="10"/>
        <v>6000</v>
      </c>
      <c r="K17" s="55">
        <f t="shared" si="10"/>
        <v>0</v>
      </c>
      <c r="L17" s="55">
        <f t="shared" si="10"/>
        <v>0</v>
      </c>
      <c r="M17" s="55">
        <f t="shared" si="10"/>
        <v>0</v>
      </c>
      <c r="N17" s="55">
        <f t="shared" si="10"/>
        <v>0</v>
      </c>
      <c r="O17" s="55">
        <f t="shared" si="10"/>
        <v>0</v>
      </c>
      <c r="P17" s="55">
        <f t="shared" si="10"/>
        <v>0</v>
      </c>
      <c r="Q17" s="56">
        <f t="shared" si="10"/>
        <v>0</v>
      </c>
      <c r="R17" s="169">
        <f>SUM(R18:R22)</f>
        <v>56679.1</v>
      </c>
      <c r="S17" s="89">
        <f t="shared" si="4"/>
        <v>-56679.1</v>
      </c>
      <c r="T17" s="216">
        <f t="shared" si="5"/>
        <v>0</v>
      </c>
      <c r="U17" s="144">
        <f>SUM(U18:U22)</f>
        <v>0</v>
      </c>
      <c r="V17" s="145">
        <f t="shared" ref="V17:AC17" si="11">SUM(V18:V22)</f>
        <v>0</v>
      </c>
      <c r="W17" s="145">
        <f t="shared" si="11"/>
        <v>0</v>
      </c>
      <c r="X17" s="145">
        <f t="shared" si="11"/>
        <v>0</v>
      </c>
      <c r="Y17" s="145">
        <f t="shared" si="11"/>
        <v>0</v>
      </c>
      <c r="Z17" s="145">
        <f t="shared" si="11"/>
        <v>0</v>
      </c>
      <c r="AA17" s="145">
        <f t="shared" si="11"/>
        <v>0</v>
      </c>
      <c r="AB17" s="145">
        <f t="shared" si="11"/>
        <v>0</v>
      </c>
      <c r="AC17" s="146">
        <f t="shared" si="11"/>
        <v>0</v>
      </c>
      <c r="AD17" s="33">
        <v>157273</v>
      </c>
      <c r="AE17" s="33">
        <v>155734.5</v>
      </c>
      <c r="AF17" s="127">
        <f>AE17*100/AD17</f>
        <v>99.021764702142136</v>
      </c>
    </row>
    <row r="18" spans="1:32" ht="14.45" customHeight="1" outlineLevel="1" x14ac:dyDescent="0.25">
      <c r="A18" s="4" t="s">
        <v>332</v>
      </c>
      <c r="B18" s="75" t="s">
        <v>532</v>
      </c>
      <c r="C18" s="25"/>
      <c r="D18" s="92">
        <v>1</v>
      </c>
      <c r="E18" s="112">
        <v>31786</v>
      </c>
      <c r="F18" s="93">
        <f t="shared" si="8"/>
        <v>31786</v>
      </c>
      <c r="G18" s="74">
        <f t="shared" si="7"/>
        <v>0</v>
      </c>
      <c r="H18" s="95">
        <f t="shared" si="0"/>
        <v>31786</v>
      </c>
      <c r="I18" s="112">
        <f>F18</f>
        <v>31786</v>
      </c>
      <c r="J18" s="57"/>
      <c r="K18" s="57"/>
      <c r="L18" s="57"/>
      <c r="M18" s="57"/>
      <c r="N18" s="57"/>
      <c r="O18" s="57"/>
      <c r="P18" s="68"/>
      <c r="Q18" s="58"/>
      <c r="R18" s="170">
        <v>3395.46</v>
      </c>
      <c r="S18" s="89">
        <f t="shared" si="4"/>
        <v>-3395.46</v>
      </c>
      <c r="T18" s="216">
        <f t="shared" si="5"/>
        <v>0</v>
      </c>
      <c r="U18" s="147">
        <f>Q18</f>
        <v>0</v>
      </c>
      <c r="V18" s="148"/>
      <c r="W18" s="148"/>
      <c r="X18" s="148"/>
      <c r="Y18" s="148"/>
      <c r="Z18" s="148"/>
      <c r="AA18" s="148"/>
      <c r="AB18" s="149"/>
      <c r="AC18" s="150"/>
      <c r="AD18" s="76"/>
      <c r="AE18" s="76"/>
      <c r="AF18" s="128"/>
    </row>
    <row r="19" spans="1:32" ht="14.45" customHeight="1" outlineLevel="1" x14ac:dyDescent="0.25">
      <c r="A19" s="4" t="s">
        <v>333</v>
      </c>
      <c r="B19" s="75" t="s">
        <v>533</v>
      </c>
      <c r="C19" s="25"/>
      <c r="D19" s="92">
        <v>1</v>
      </c>
      <c r="E19" s="112">
        <v>79762</v>
      </c>
      <c r="F19" s="93">
        <f t="shared" si="8"/>
        <v>79762</v>
      </c>
      <c r="G19" s="74">
        <f t="shared" si="7"/>
        <v>0</v>
      </c>
      <c r="H19" s="95">
        <f t="shared" si="0"/>
        <v>79762</v>
      </c>
      <c r="I19" s="112">
        <f>F19</f>
        <v>79762</v>
      </c>
      <c r="J19" s="57"/>
      <c r="K19" s="57"/>
      <c r="L19" s="57"/>
      <c r="M19" s="57"/>
      <c r="N19" s="57"/>
      <c r="O19" s="57"/>
      <c r="P19" s="68"/>
      <c r="Q19" s="58"/>
      <c r="R19" s="170">
        <v>51473.72</v>
      </c>
      <c r="S19" s="89">
        <f t="shared" si="4"/>
        <v>-51473.72</v>
      </c>
      <c r="T19" s="216">
        <f t="shared" si="5"/>
        <v>0</v>
      </c>
      <c r="U19" s="147">
        <f>Q19</f>
        <v>0</v>
      </c>
      <c r="V19" s="148"/>
      <c r="W19" s="148"/>
      <c r="X19" s="148"/>
      <c r="Y19" s="148"/>
      <c r="Z19" s="148"/>
      <c r="AA19" s="148"/>
      <c r="AB19" s="149"/>
      <c r="AC19" s="150"/>
      <c r="AD19" s="76"/>
      <c r="AE19" s="76"/>
      <c r="AF19" s="128"/>
    </row>
    <row r="20" spans="1:32" ht="14.45" customHeight="1" outlineLevel="1" x14ac:dyDescent="0.25">
      <c r="A20" s="4" t="s">
        <v>334</v>
      </c>
      <c r="B20" s="75" t="s">
        <v>534</v>
      </c>
      <c r="C20" s="25"/>
      <c r="D20" s="92">
        <v>1</v>
      </c>
      <c r="E20" s="112">
        <v>6000</v>
      </c>
      <c r="F20" s="93">
        <f t="shared" si="8"/>
        <v>6000</v>
      </c>
      <c r="G20" s="74">
        <f t="shared" si="7"/>
        <v>0</v>
      </c>
      <c r="H20" s="95">
        <f t="shared" si="0"/>
        <v>6000</v>
      </c>
      <c r="I20" s="112"/>
      <c r="J20" s="57">
        <v>6000</v>
      </c>
      <c r="K20" s="57"/>
      <c r="L20" s="57"/>
      <c r="M20" s="57"/>
      <c r="N20" s="57"/>
      <c r="O20" s="57"/>
      <c r="P20" s="68"/>
      <c r="Q20" s="58"/>
      <c r="R20" s="170">
        <v>1809.92</v>
      </c>
      <c r="S20" s="89">
        <f t="shared" si="4"/>
        <v>-1809.92</v>
      </c>
      <c r="T20" s="216">
        <f t="shared" si="5"/>
        <v>0</v>
      </c>
      <c r="U20" s="147"/>
      <c r="V20" s="148"/>
      <c r="W20" s="148"/>
      <c r="X20" s="148"/>
      <c r="Y20" s="148"/>
      <c r="Z20" s="148"/>
      <c r="AA20" s="148"/>
      <c r="AB20" s="149"/>
      <c r="AC20" s="150"/>
      <c r="AD20" s="76"/>
      <c r="AE20" s="76"/>
      <c r="AF20" s="128"/>
    </row>
    <row r="21" spans="1:32" outlineLevel="1" x14ac:dyDescent="0.25">
      <c r="A21" s="4" t="s">
        <v>335</v>
      </c>
      <c r="B21" s="75" t="s">
        <v>958</v>
      </c>
      <c r="C21" s="25"/>
      <c r="D21" s="92">
        <v>1</v>
      </c>
      <c r="E21" s="112">
        <v>72593</v>
      </c>
      <c r="F21" s="93">
        <f t="shared" si="8"/>
        <v>72593</v>
      </c>
      <c r="G21" s="74">
        <f t="shared" si="7"/>
        <v>0</v>
      </c>
      <c r="H21" s="95">
        <f t="shared" si="0"/>
        <v>72593</v>
      </c>
      <c r="I21" s="112">
        <f>F21</f>
        <v>72593</v>
      </c>
      <c r="J21" s="57"/>
      <c r="K21" s="57"/>
      <c r="L21" s="57"/>
      <c r="M21" s="57"/>
      <c r="N21" s="57"/>
      <c r="O21" s="57"/>
      <c r="P21" s="68"/>
      <c r="Q21" s="58"/>
      <c r="R21" s="170">
        <f>P21*Q21</f>
        <v>0</v>
      </c>
      <c r="S21" s="89">
        <f t="shared" si="4"/>
        <v>0</v>
      </c>
      <c r="T21" s="216">
        <f t="shared" si="5"/>
        <v>0</v>
      </c>
      <c r="U21" s="147">
        <f>Q21</f>
        <v>0</v>
      </c>
      <c r="V21" s="148"/>
      <c r="W21" s="148"/>
      <c r="X21" s="148"/>
      <c r="Y21" s="148"/>
      <c r="Z21" s="148"/>
      <c r="AA21" s="148"/>
      <c r="AB21" s="149"/>
      <c r="AC21" s="150"/>
      <c r="AD21" s="76"/>
      <c r="AE21" s="76"/>
      <c r="AF21" s="128"/>
    </row>
    <row r="22" spans="1:32" outlineLevel="1" x14ac:dyDescent="0.25">
      <c r="A22" s="4" t="s">
        <v>336</v>
      </c>
      <c r="B22" s="75" t="s">
        <v>47</v>
      </c>
      <c r="C22" s="25"/>
      <c r="D22" s="92">
        <v>1</v>
      </c>
      <c r="E22" s="110">
        <v>0</v>
      </c>
      <c r="F22" s="93">
        <f t="shared" si="8"/>
        <v>0</v>
      </c>
      <c r="G22" s="74">
        <f t="shared" si="7"/>
        <v>0</v>
      </c>
      <c r="H22" s="95">
        <f t="shared" si="0"/>
        <v>0</v>
      </c>
      <c r="I22" s="112">
        <f>F22</f>
        <v>0</v>
      </c>
      <c r="J22" s="57"/>
      <c r="K22" s="57"/>
      <c r="L22" s="57"/>
      <c r="M22" s="57"/>
      <c r="N22" s="57"/>
      <c r="O22" s="57"/>
      <c r="P22" s="68"/>
      <c r="Q22" s="58"/>
      <c r="R22" s="170">
        <f>P22*Q22</f>
        <v>0</v>
      </c>
      <c r="S22" s="89">
        <f t="shared" si="4"/>
        <v>0</v>
      </c>
      <c r="T22" s="216">
        <f t="shared" si="5"/>
        <v>0</v>
      </c>
      <c r="U22" s="147">
        <f>Q22</f>
        <v>0</v>
      </c>
      <c r="V22" s="148"/>
      <c r="W22" s="148"/>
      <c r="X22" s="148"/>
      <c r="Y22" s="148"/>
      <c r="Z22" s="148"/>
      <c r="AA22" s="148"/>
      <c r="AB22" s="149"/>
      <c r="AC22" s="150"/>
      <c r="AD22" s="76"/>
      <c r="AE22" s="76"/>
      <c r="AF22" s="128"/>
    </row>
    <row r="23" spans="1:32" s="2" customFormat="1" ht="21" x14ac:dyDescent="0.35">
      <c r="A23" s="8" t="s">
        <v>61</v>
      </c>
      <c r="B23" s="12" t="s">
        <v>136</v>
      </c>
      <c r="C23" s="106"/>
      <c r="D23" s="22"/>
      <c r="E23" s="81">
        <f>SUM(E24:E36)</f>
        <v>55753</v>
      </c>
      <c r="F23" s="84">
        <f>F24+F28+F31+F34</f>
        <v>0</v>
      </c>
      <c r="G23" s="89">
        <f t="shared" si="7"/>
        <v>0</v>
      </c>
      <c r="H23" s="16">
        <f t="shared" si="0"/>
        <v>0</v>
      </c>
      <c r="I23" s="51">
        <f t="shared" ref="I23:AE23" si="12">I24+I28+I31+I34</f>
        <v>0</v>
      </c>
      <c r="J23" s="51">
        <f t="shared" si="12"/>
        <v>0</v>
      </c>
      <c r="K23" s="51">
        <f t="shared" si="12"/>
        <v>0</v>
      </c>
      <c r="L23" s="51">
        <f t="shared" si="12"/>
        <v>0</v>
      </c>
      <c r="M23" s="51">
        <f t="shared" si="12"/>
        <v>0</v>
      </c>
      <c r="N23" s="51">
        <f t="shared" si="12"/>
        <v>0</v>
      </c>
      <c r="O23" s="51">
        <f t="shared" si="12"/>
        <v>0</v>
      </c>
      <c r="P23" s="51">
        <f t="shared" si="12"/>
        <v>0</v>
      </c>
      <c r="Q23" s="59">
        <f t="shared" si="12"/>
        <v>0</v>
      </c>
      <c r="R23" s="168">
        <f>R24+R28+R31+R34</f>
        <v>0</v>
      </c>
      <c r="S23" s="89">
        <f t="shared" si="4"/>
        <v>0</v>
      </c>
      <c r="T23" s="216">
        <f t="shared" si="5"/>
        <v>0</v>
      </c>
      <c r="U23" s="144">
        <f>U24+U28+U31+U34</f>
        <v>0</v>
      </c>
      <c r="V23" s="144">
        <f t="shared" ref="V23:AC23" si="13">V24+V28+V31+V34</f>
        <v>0</v>
      </c>
      <c r="W23" s="144">
        <f t="shared" si="13"/>
        <v>0</v>
      </c>
      <c r="X23" s="144">
        <f t="shared" si="13"/>
        <v>0</v>
      </c>
      <c r="Y23" s="144">
        <f t="shared" si="13"/>
        <v>0</v>
      </c>
      <c r="Z23" s="144">
        <f t="shared" si="13"/>
        <v>0</v>
      </c>
      <c r="AA23" s="144">
        <f t="shared" si="13"/>
        <v>0</v>
      </c>
      <c r="AB23" s="144">
        <f t="shared" si="13"/>
        <v>0</v>
      </c>
      <c r="AC23" s="151">
        <f t="shared" si="13"/>
        <v>0</v>
      </c>
      <c r="AD23" s="32">
        <f t="shared" si="12"/>
        <v>57000</v>
      </c>
      <c r="AE23" s="32">
        <f t="shared" si="12"/>
        <v>56200</v>
      </c>
      <c r="AF23" s="126">
        <f>AE23*100/AD23</f>
        <v>98.596491228070178</v>
      </c>
    </row>
    <row r="24" spans="1:32" s="3" customFormat="1" ht="15.75" x14ac:dyDescent="0.25">
      <c r="A24" s="7" t="s">
        <v>62</v>
      </c>
      <c r="B24" s="13" t="s">
        <v>137</v>
      </c>
      <c r="C24" s="23"/>
      <c r="D24" s="24"/>
      <c r="E24" s="17"/>
      <c r="F24" s="82">
        <f>SUM(F25:F27)</f>
        <v>0</v>
      </c>
      <c r="G24" s="89">
        <f t="shared" si="7"/>
        <v>0</v>
      </c>
      <c r="H24" s="18">
        <f t="shared" si="0"/>
        <v>0</v>
      </c>
      <c r="I24" s="54">
        <f t="shared" ref="I24:Q24" si="14">SUM(I25:I27)</f>
        <v>0</v>
      </c>
      <c r="J24" s="55">
        <f t="shared" si="14"/>
        <v>0</v>
      </c>
      <c r="K24" s="55">
        <f t="shared" si="14"/>
        <v>0</v>
      </c>
      <c r="L24" s="55">
        <f t="shared" si="14"/>
        <v>0</v>
      </c>
      <c r="M24" s="55">
        <f t="shared" si="14"/>
        <v>0</v>
      </c>
      <c r="N24" s="55">
        <f t="shared" si="14"/>
        <v>0</v>
      </c>
      <c r="O24" s="55">
        <f t="shared" si="14"/>
        <v>0</v>
      </c>
      <c r="P24" s="55">
        <f t="shared" si="14"/>
        <v>0</v>
      </c>
      <c r="Q24" s="56">
        <f t="shared" si="14"/>
        <v>0</v>
      </c>
      <c r="R24" s="169">
        <f>SUM(R25:R27)</f>
        <v>0</v>
      </c>
      <c r="S24" s="89">
        <f t="shared" si="4"/>
        <v>0</v>
      </c>
      <c r="T24" s="216">
        <f t="shared" si="5"/>
        <v>0</v>
      </c>
      <c r="U24" s="144">
        <f>SUM(U25:U27)</f>
        <v>0</v>
      </c>
      <c r="V24" s="145">
        <f t="shared" ref="V24:AC24" si="15">SUM(V25:V27)</f>
        <v>0</v>
      </c>
      <c r="W24" s="145">
        <f t="shared" si="15"/>
        <v>0</v>
      </c>
      <c r="X24" s="145">
        <f t="shared" si="15"/>
        <v>0</v>
      </c>
      <c r="Y24" s="145">
        <f t="shared" si="15"/>
        <v>0</v>
      </c>
      <c r="Z24" s="145">
        <f t="shared" si="15"/>
        <v>0</v>
      </c>
      <c r="AA24" s="145">
        <f t="shared" si="15"/>
        <v>0</v>
      </c>
      <c r="AB24" s="145">
        <f t="shared" si="15"/>
        <v>0</v>
      </c>
      <c r="AC24" s="146">
        <f t="shared" si="15"/>
        <v>0</v>
      </c>
      <c r="AD24" s="33">
        <v>11500</v>
      </c>
      <c r="AE24" s="33">
        <v>10700</v>
      </c>
      <c r="AF24" s="127">
        <f>AE24*100/AD24</f>
        <v>93.043478260869563</v>
      </c>
    </row>
    <row r="25" spans="1:32" outlineLevel="1" x14ac:dyDescent="0.25">
      <c r="A25" s="5" t="s">
        <v>63</v>
      </c>
      <c r="B25" s="75" t="s">
        <v>141</v>
      </c>
      <c r="C25" s="25" t="s">
        <v>901</v>
      </c>
      <c r="D25" s="92">
        <v>1</v>
      </c>
      <c r="E25" s="110">
        <v>3000</v>
      </c>
      <c r="F25" s="93"/>
      <c r="G25" s="74">
        <f t="shared" si="7"/>
        <v>0</v>
      </c>
      <c r="H25" s="95">
        <f t="shared" si="0"/>
        <v>0</v>
      </c>
      <c r="I25" s="112">
        <f>F25</f>
        <v>0</v>
      </c>
      <c r="J25" s="57"/>
      <c r="K25" s="57"/>
      <c r="L25" s="57"/>
      <c r="M25" s="57"/>
      <c r="N25" s="57"/>
      <c r="O25" s="57"/>
      <c r="P25" s="68"/>
      <c r="Q25" s="58"/>
      <c r="R25" s="170"/>
      <c r="S25" s="89">
        <f t="shared" si="4"/>
        <v>0</v>
      </c>
      <c r="T25" s="216">
        <f t="shared" si="5"/>
        <v>0</v>
      </c>
      <c r="U25" s="147">
        <f>Q25</f>
        <v>0</v>
      </c>
      <c r="V25" s="148"/>
      <c r="W25" s="148"/>
      <c r="X25" s="148"/>
      <c r="Y25" s="148"/>
      <c r="Z25" s="148"/>
      <c r="AA25" s="148"/>
      <c r="AB25" s="149"/>
      <c r="AC25" s="150"/>
      <c r="AD25" s="76"/>
      <c r="AE25" s="76"/>
      <c r="AF25" s="128"/>
    </row>
    <row r="26" spans="1:32" outlineLevel="1" x14ac:dyDescent="0.25">
      <c r="A26" s="4" t="s">
        <v>64</v>
      </c>
      <c r="B26" s="75" t="s">
        <v>140</v>
      </c>
      <c r="C26" s="25" t="s">
        <v>902</v>
      </c>
      <c r="D26" s="92">
        <v>1</v>
      </c>
      <c r="E26" s="110">
        <v>3000</v>
      </c>
      <c r="F26" s="93"/>
      <c r="G26" s="74">
        <f t="shared" si="7"/>
        <v>0</v>
      </c>
      <c r="H26" s="95">
        <f t="shared" si="0"/>
        <v>0</v>
      </c>
      <c r="I26" s="112">
        <f>F26</f>
        <v>0</v>
      </c>
      <c r="J26" s="57"/>
      <c r="K26" s="57"/>
      <c r="L26" s="57"/>
      <c r="M26" s="57"/>
      <c r="N26" s="57"/>
      <c r="O26" s="57"/>
      <c r="P26" s="68"/>
      <c r="Q26" s="58"/>
      <c r="R26" s="170"/>
      <c r="S26" s="89">
        <f t="shared" si="4"/>
        <v>0</v>
      </c>
      <c r="T26" s="216">
        <f t="shared" si="5"/>
        <v>0</v>
      </c>
      <c r="U26" s="147">
        <f>Q26</f>
        <v>0</v>
      </c>
      <c r="V26" s="148"/>
      <c r="W26" s="148"/>
      <c r="X26" s="148"/>
      <c r="Y26" s="148"/>
      <c r="Z26" s="148"/>
      <c r="AA26" s="148"/>
      <c r="AB26" s="149"/>
      <c r="AC26" s="150"/>
      <c r="AD26" s="76"/>
      <c r="AE26" s="76"/>
      <c r="AF26" s="128"/>
    </row>
    <row r="27" spans="1:32" outlineLevel="1" x14ac:dyDescent="0.25">
      <c r="A27" s="4" t="s">
        <v>81</v>
      </c>
      <c r="B27" s="75" t="s">
        <v>47</v>
      </c>
      <c r="C27" s="25"/>
      <c r="D27" s="92"/>
      <c r="E27" s="110"/>
      <c r="F27" s="93"/>
      <c r="G27" s="74">
        <f t="shared" si="7"/>
        <v>0</v>
      </c>
      <c r="H27" s="95">
        <f t="shared" si="0"/>
        <v>0</v>
      </c>
      <c r="I27" s="112">
        <f>F27</f>
        <v>0</v>
      </c>
      <c r="J27" s="57"/>
      <c r="K27" s="57"/>
      <c r="L27" s="57"/>
      <c r="M27" s="57"/>
      <c r="N27" s="57"/>
      <c r="O27" s="57"/>
      <c r="P27" s="68"/>
      <c r="Q27" s="58"/>
      <c r="R27" s="170"/>
      <c r="S27" s="89">
        <f t="shared" si="4"/>
        <v>0</v>
      </c>
      <c r="T27" s="216">
        <f t="shared" si="5"/>
        <v>0</v>
      </c>
      <c r="U27" s="147">
        <f>Q27</f>
        <v>0</v>
      </c>
      <c r="V27" s="148"/>
      <c r="W27" s="148"/>
      <c r="X27" s="148"/>
      <c r="Y27" s="148"/>
      <c r="Z27" s="148"/>
      <c r="AA27" s="148"/>
      <c r="AB27" s="149"/>
      <c r="AC27" s="150"/>
      <c r="AD27" s="76"/>
      <c r="AE27" s="76"/>
      <c r="AF27" s="128"/>
    </row>
    <row r="28" spans="1:32" s="3" customFormat="1" ht="15.75" x14ac:dyDescent="0.25">
      <c r="A28" s="7" t="s">
        <v>65</v>
      </c>
      <c r="B28" s="13" t="s">
        <v>699</v>
      </c>
      <c r="C28" s="23"/>
      <c r="D28" s="24"/>
      <c r="E28" s="17"/>
      <c r="F28" s="82">
        <f>SUM(F29:F30)</f>
        <v>0</v>
      </c>
      <c r="G28" s="89">
        <f t="shared" si="7"/>
        <v>0</v>
      </c>
      <c r="H28" s="18">
        <f t="shared" si="0"/>
        <v>0</v>
      </c>
      <c r="I28" s="54">
        <f t="shared" ref="I28:Q28" si="16">SUM(I29:I30)</f>
        <v>0</v>
      </c>
      <c r="J28" s="55">
        <f t="shared" si="16"/>
        <v>0</v>
      </c>
      <c r="K28" s="55">
        <f t="shared" si="16"/>
        <v>0</v>
      </c>
      <c r="L28" s="55">
        <f t="shared" si="16"/>
        <v>0</v>
      </c>
      <c r="M28" s="55">
        <f t="shared" si="16"/>
        <v>0</v>
      </c>
      <c r="N28" s="55">
        <f t="shared" si="16"/>
        <v>0</v>
      </c>
      <c r="O28" s="55">
        <f t="shared" si="16"/>
        <v>0</v>
      </c>
      <c r="P28" s="55">
        <f t="shared" si="16"/>
        <v>0</v>
      </c>
      <c r="Q28" s="56">
        <f t="shared" si="16"/>
        <v>0</v>
      </c>
      <c r="R28" s="169">
        <f>SUM(R29:R30)</f>
        <v>0</v>
      </c>
      <c r="S28" s="89">
        <f t="shared" si="4"/>
        <v>0</v>
      </c>
      <c r="T28" s="216">
        <f t="shared" si="5"/>
        <v>0</v>
      </c>
      <c r="U28" s="144">
        <f>SUM(U29:U30)</f>
        <v>0</v>
      </c>
      <c r="V28" s="145">
        <f t="shared" ref="V28:AC28" si="17">SUM(V29:V30)</f>
        <v>0</v>
      </c>
      <c r="W28" s="145">
        <f t="shared" si="17"/>
        <v>0</v>
      </c>
      <c r="X28" s="145">
        <f t="shared" si="17"/>
        <v>0</v>
      </c>
      <c r="Y28" s="145">
        <f t="shared" si="17"/>
        <v>0</v>
      </c>
      <c r="Z28" s="145">
        <f t="shared" si="17"/>
        <v>0</v>
      </c>
      <c r="AA28" s="145">
        <f t="shared" si="17"/>
        <v>0</v>
      </c>
      <c r="AB28" s="145">
        <f t="shared" si="17"/>
        <v>0</v>
      </c>
      <c r="AC28" s="146">
        <f t="shared" si="17"/>
        <v>0</v>
      </c>
      <c r="AD28" s="33">
        <v>17000</v>
      </c>
      <c r="AE28" s="33">
        <v>17000</v>
      </c>
      <c r="AF28" s="127">
        <f>AE28*100/AD28</f>
        <v>100</v>
      </c>
    </row>
    <row r="29" spans="1:32" outlineLevel="1" x14ac:dyDescent="0.25">
      <c r="A29" s="4" t="s">
        <v>66</v>
      </c>
      <c r="B29" s="75" t="s">
        <v>891</v>
      </c>
      <c r="C29" s="25" t="s">
        <v>900</v>
      </c>
      <c r="D29" s="92">
        <v>1</v>
      </c>
      <c r="E29" s="110">
        <v>3000</v>
      </c>
      <c r="F29" s="93"/>
      <c r="G29" s="74">
        <f t="shared" si="7"/>
        <v>0</v>
      </c>
      <c r="H29" s="95">
        <f t="shared" si="0"/>
        <v>0</v>
      </c>
      <c r="I29" s="112">
        <f>F29</f>
        <v>0</v>
      </c>
      <c r="J29" s="57"/>
      <c r="K29" s="57"/>
      <c r="L29" s="57"/>
      <c r="M29" s="57"/>
      <c r="N29" s="57"/>
      <c r="O29" s="57"/>
      <c r="P29" s="68"/>
      <c r="Q29" s="58"/>
      <c r="R29" s="170"/>
      <c r="S29" s="89">
        <f t="shared" si="4"/>
        <v>0</v>
      </c>
      <c r="T29" s="216">
        <f t="shared" si="5"/>
        <v>0</v>
      </c>
      <c r="U29" s="147">
        <f>Q29</f>
        <v>0</v>
      </c>
      <c r="V29" s="148"/>
      <c r="W29" s="148"/>
      <c r="X29" s="148"/>
      <c r="Y29" s="148"/>
      <c r="Z29" s="148"/>
      <c r="AA29" s="148"/>
      <c r="AB29" s="149"/>
      <c r="AC29" s="150"/>
      <c r="AD29" s="76"/>
      <c r="AE29" s="76"/>
      <c r="AF29" s="128"/>
    </row>
    <row r="30" spans="1:32" outlineLevel="1" x14ac:dyDescent="0.25">
      <c r="A30" s="4" t="s">
        <v>67</v>
      </c>
      <c r="B30" s="75" t="s">
        <v>47</v>
      </c>
      <c r="C30" s="25"/>
      <c r="D30" s="92"/>
      <c r="E30" s="110"/>
      <c r="F30" s="93"/>
      <c r="G30" s="74">
        <f t="shared" si="7"/>
        <v>0</v>
      </c>
      <c r="H30" s="95">
        <f t="shared" si="0"/>
        <v>0</v>
      </c>
      <c r="I30" s="112">
        <f>F30</f>
        <v>0</v>
      </c>
      <c r="J30" s="57"/>
      <c r="K30" s="57"/>
      <c r="L30" s="57"/>
      <c r="M30" s="57"/>
      <c r="N30" s="57"/>
      <c r="O30" s="57"/>
      <c r="P30" s="68"/>
      <c r="Q30" s="58"/>
      <c r="R30" s="170"/>
      <c r="S30" s="89">
        <f t="shared" si="4"/>
        <v>0</v>
      </c>
      <c r="T30" s="216">
        <f t="shared" si="5"/>
        <v>0</v>
      </c>
      <c r="U30" s="147">
        <f>Q30</f>
        <v>0</v>
      </c>
      <c r="V30" s="148"/>
      <c r="W30" s="148"/>
      <c r="X30" s="148"/>
      <c r="Y30" s="148"/>
      <c r="Z30" s="148"/>
      <c r="AA30" s="148"/>
      <c r="AB30" s="149"/>
      <c r="AC30" s="150"/>
      <c r="AD30" s="76"/>
      <c r="AE30" s="76"/>
      <c r="AF30" s="128"/>
    </row>
    <row r="31" spans="1:32" s="3" customFormat="1" ht="15.75" x14ac:dyDescent="0.25">
      <c r="A31" s="7" t="s">
        <v>68</v>
      </c>
      <c r="B31" s="13" t="s">
        <v>155</v>
      </c>
      <c r="C31" s="23"/>
      <c r="D31" s="24"/>
      <c r="E31" s="17"/>
      <c r="F31" s="82">
        <f>SUM(F32:F33)</f>
        <v>0</v>
      </c>
      <c r="G31" s="89">
        <f t="shared" si="7"/>
        <v>0</v>
      </c>
      <c r="H31" s="18">
        <f t="shared" si="0"/>
        <v>0</v>
      </c>
      <c r="I31" s="54">
        <f t="shared" ref="I31:Q31" si="18">SUM(I32:I33)</f>
        <v>0</v>
      </c>
      <c r="J31" s="55">
        <f t="shared" si="18"/>
        <v>0</v>
      </c>
      <c r="K31" s="55">
        <f t="shared" si="18"/>
        <v>0</v>
      </c>
      <c r="L31" s="55">
        <f t="shared" si="18"/>
        <v>0</v>
      </c>
      <c r="M31" s="55">
        <f t="shared" si="18"/>
        <v>0</v>
      </c>
      <c r="N31" s="55">
        <f t="shared" si="18"/>
        <v>0</v>
      </c>
      <c r="O31" s="55">
        <f t="shared" si="18"/>
        <v>0</v>
      </c>
      <c r="P31" s="55">
        <f t="shared" si="18"/>
        <v>0</v>
      </c>
      <c r="Q31" s="56">
        <f t="shared" si="18"/>
        <v>0</v>
      </c>
      <c r="R31" s="169">
        <f>SUM(R32:R33)</f>
        <v>0</v>
      </c>
      <c r="S31" s="89">
        <f t="shared" si="4"/>
        <v>0</v>
      </c>
      <c r="T31" s="216">
        <f t="shared" si="5"/>
        <v>0</v>
      </c>
      <c r="U31" s="144">
        <f>SUM(U32:U33)</f>
        <v>0</v>
      </c>
      <c r="V31" s="145">
        <f t="shared" ref="V31:AC31" si="19">SUM(V32:V33)</f>
        <v>0</v>
      </c>
      <c r="W31" s="145">
        <f t="shared" si="19"/>
        <v>0</v>
      </c>
      <c r="X31" s="145">
        <f t="shared" si="19"/>
        <v>0</v>
      </c>
      <c r="Y31" s="145">
        <f t="shared" si="19"/>
        <v>0</v>
      </c>
      <c r="Z31" s="145">
        <f t="shared" si="19"/>
        <v>0</v>
      </c>
      <c r="AA31" s="145">
        <f t="shared" si="19"/>
        <v>0</v>
      </c>
      <c r="AB31" s="145">
        <f t="shared" si="19"/>
        <v>0</v>
      </c>
      <c r="AC31" s="146">
        <f t="shared" si="19"/>
        <v>0</v>
      </c>
      <c r="AD31" s="33">
        <v>28500</v>
      </c>
      <c r="AE31" s="33">
        <v>28500</v>
      </c>
      <c r="AF31" s="127">
        <f>AE31*100/AD31</f>
        <v>100</v>
      </c>
    </row>
    <row r="32" spans="1:32" outlineLevel="1" x14ac:dyDescent="0.25">
      <c r="A32" s="4" t="s">
        <v>69</v>
      </c>
      <c r="B32" s="75" t="s">
        <v>156</v>
      </c>
      <c r="C32" s="25" t="s">
        <v>898</v>
      </c>
      <c r="D32" s="92">
        <v>1</v>
      </c>
      <c r="E32" s="110">
        <v>26000</v>
      </c>
      <c r="F32" s="93"/>
      <c r="G32" s="74">
        <f t="shared" si="7"/>
        <v>0</v>
      </c>
      <c r="H32" s="95">
        <f t="shared" si="0"/>
        <v>0</v>
      </c>
      <c r="I32" s="112">
        <f>F32</f>
        <v>0</v>
      </c>
      <c r="J32" s="57"/>
      <c r="K32" s="57"/>
      <c r="L32" s="57"/>
      <c r="M32" s="57"/>
      <c r="N32" s="57"/>
      <c r="O32" s="57"/>
      <c r="P32" s="68"/>
      <c r="Q32" s="58"/>
      <c r="R32" s="170"/>
      <c r="S32" s="89">
        <f t="shared" si="4"/>
        <v>0</v>
      </c>
      <c r="T32" s="216">
        <f t="shared" si="5"/>
        <v>0</v>
      </c>
      <c r="U32" s="147">
        <f>Q32</f>
        <v>0</v>
      </c>
      <c r="V32" s="148"/>
      <c r="W32" s="148"/>
      <c r="X32" s="148"/>
      <c r="Y32" s="148"/>
      <c r="Z32" s="148"/>
      <c r="AA32" s="148"/>
      <c r="AB32" s="149"/>
      <c r="AC32" s="150"/>
      <c r="AD32" s="76"/>
      <c r="AE32" s="76"/>
      <c r="AF32" s="128"/>
    </row>
    <row r="33" spans="1:32" outlineLevel="1" x14ac:dyDescent="0.25">
      <c r="A33" s="6" t="s">
        <v>70</v>
      </c>
      <c r="B33" s="75" t="s">
        <v>157</v>
      </c>
      <c r="C33" s="25" t="s">
        <v>899</v>
      </c>
      <c r="D33" s="92">
        <v>1</v>
      </c>
      <c r="E33" s="110">
        <v>2500</v>
      </c>
      <c r="F33" s="93"/>
      <c r="G33" s="74">
        <f t="shared" si="7"/>
        <v>0</v>
      </c>
      <c r="H33" s="95">
        <f t="shared" si="0"/>
        <v>0</v>
      </c>
      <c r="I33" s="112">
        <f>F33</f>
        <v>0</v>
      </c>
      <c r="J33" s="57"/>
      <c r="K33" s="57"/>
      <c r="L33" s="57"/>
      <c r="M33" s="57"/>
      <c r="N33" s="57"/>
      <c r="O33" s="57"/>
      <c r="P33" s="68"/>
      <c r="Q33" s="58"/>
      <c r="R33" s="170"/>
      <c r="S33" s="89">
        <f t="shared" si="4"/>
        <v>0</v>
      </c>
      <c r="T33" s="216">
        <f t="shared" si="5"/>
        <v>0</v>
      </c>
      <c r="U33" s="147">
        <f>Q33</f>
        <v>0</v>
      </c>
      <c r="V33" s="148"/>
      <c r="W33" s="148"/>
      <c r="X33" s="148"/>
      <c r="Y33" s="148"/>
      <c r="Z33" s="148"/>
      <c r="AA33" s="148"/>
      <c r="AB33" s="149"/>
      <c r="AC33" s="150"/>
      <c r="AD33" s="76"/>
      <c r="AE33" s="76"/>
      <c r="AF33" s="128"/>
    </row>
    <row r="34" spans="1:32" s="3" customFormat="1" ht="15.75" x14ac:dyDescent="0.25">
      <c r="A34" s="7" t="s">
        <v>535</v>
      </c>
      <c r="B34" s="13" t="s">
        <v>152</v>
      </c>
      <c r="C34" s="23"/>
      <c r="D34" s="24"/>
      <c r="E34" s="17"/>
      <c r="F34" s="82">
        <f>SUM(F35:F36)</f>
        <v>0</v>
      </c>
      <c r="G34" s="89">
        <f t="shared" si="7"/>
        <v>0</v>
      </c>
      <c r="H34" s="18">
        <f t="shared" si="0"/>
        <v>0</v>
      </c>
      <c r="I34" s="54">
        <f t="shared" ref="I34:Q34" si="20">SUM(I35:I36)</f>
        <v>0</v>
      </c>
      <c r="J34" s="55">
        <f t="shared" si="20"/>
        <v>0</v>
      </c>
      <c r="K34" s="55">
        <f t="shared" si="20"/>
        <v>0</v>
      </c>
      <c r="L34" s="55">
        <f t="shared" si="20"/>
        <v>0</v>
      </c>
      <c r="M34" s="55">
        <f t="shared" si="20"/>
        <v>0</v>
      </c>
      <c r="N34" s="55">
        <f t="shared" si="20"/>
        <v>0</v>
      </c>
      <c r="O34" s="55">
        <f t="shared" si="20"/>
        <v>0</v>
      </c>
      <c r="P34" s="55">
        <f t="shared" si="20"/>
        <v>0</v>
      </c>
      <c r="Q34" s="56">
        <f t="shared" si="20"/>
        <v>0</v>
      </c>
      <c r="R34" s="169">
        <f>SUM(R35:R36)</f>
        <v>0</v>
      </c>
      <c r="S34" s="89">
        <f t="shared" si="4"/>
        <v>0</v>
      </c>
      <c r="T34" s="216">
        <f t="shared" si="5"/>
        <v>0</v>
      </c>
      <c r="U34" s="144">
        <f>SUM(U35:U36)</f>
        <v>0</v>
      </c>
      <c r="V34" s="145">
        <f t="shared" ref="V34:AC34" si="21">SUM(V35:V36)</f>
        <v>0</v>
      </c>
      <c r="W34" s="145">
        <f t="shared" si="21"/>
        <v>0</v>
      </c>
      <c r="X34" s="145">
        <f t="shared" si="21"/>
        <v>0</v>
      </c>
      <c r="Y34" s="145">
        <f t="shared" si="21"/>
        <v>0</v>
      </c>
      <c r="Z34" s="145">
        <f t="shared" si="21"/>
        <v>0</v>
      </c>
      <c r="AA34" s="145">
        <f t="shared" si="21"/>
        <v>0</v>
      </c>
      <c r="AB34" s="145">
        <f t="shared" si="21"/>
        <v>0</v>
      </c>
      <c r="AC34" s="146">
        <f t="shared" si="21"/>
        <v>0</v>
      </c>
      <c r="AD34" s="132"/>
      <c r="AE34" s="133"/>
      <c r="AF34" s="134"/>
    </row>
    <row r="35" spans="1:32" outlineLevel="1" x14ac:dyDescent="0.25">
      <c r="A35" s="4" t="s">
        <v>71</v>
      </c>
      <c r="B35" s="75" t="s">
        <v>153</v>
      </c>
      <c r="C35" s="25" t="s">
        <v>887</v>
      </c>
      <c r="D35" s="92">
        <v>1</v>
      </c>
      <c r="E35" s="110">
        <f>I151</f>
        <v>18253</v>
      </c>
      <c r="F35" s="93"/>
      <c r="G35" s="74">
        <f t="shared" si="7"/>
        <v>0</v>
      </c>
      <c r="H35" s="95">
        <f t="shared" ref="H35:H57" si="22">SUM(I35:Q35)</f>
        <v>0</v>
      </c>
      <c r="I35" s="112">
        <f>F35</f>
        <v>0</v>
      </c>
      <c r="J35" s="57"/>
      <c r="K35" s="57"/>
      <c r="L35" s="57"/>
      <c r="M35" s="57"/>
      <c r="N35" s="57"/>
      <c r="O35" s="57"/>
      <c r="P35" s="68"/>
      <c r="Q35" s="58"/>
      <c r="R35" s="170"/>
      <c r="S35" s="89">
        <f t="shared" si="4"/>
        <v>0</v>
      </c>
      <c r="T35" s="216">
        <f t="shared" si="5"/>
        <v>0</v>
      </c>
      <c r="U35" s="147">
        <f>Q35</f>
        <v>0</v>
      </c>
      <c r="V35" s="148"/>
      <c r="W35" s="148"/>
      <c r="X35" s="148"/>
      <c r="Y35" s="148"/>
      <c r="Z35" s="148"/>
      <c r="AA35" s="148"/>
      <c r="AB35" s="149"/>
      <c r="AC35" s="150"/>
      <c r="AD35" s="76"/>
      <c r="AE35" s="76"/>
      <c r="AF35" s="128"/>
    </row>
    <row r="36" spans="1:32" outlineLevel="1" x14ac:dyDescent="0.25">
      <c r="A36" s="6" t="s">
        <v>72</v>
      </c>
      <c r="B36" s="75" t="s">
        <v>47</v>
      </c>
      <c r="C36" s="25"/>
      <c r="D36" s="92"/>
      <c r="E36" s="110"/>
      <c r="F36" s="93"/>
      <c r="G36" s="74">
        <f t="shared" si="7"/>
        <v>0</v>
      </c>
      <c r="H36" s="95">
        <f t="shared" si="22"/>
        <v>0</v>
      </c>
      <c r="I36" s="112">
        <f>F36</f>
        <v>0</v>
      </c>
      <c r="J36" s="57"/>
      <c r="K36" s="57"/>
      <c r="L36" s="57"/>
      <c r="M36" s="57"/>
      <c r="N36" s="57"/>
      <c r="O36" s="57"/>
      <c r="P36" s="68"/>
      <c r="Q36" s="58"/>
      <c r="R36" s="170"/>
      <c r="S36" s="89">
        <f t="shared" si="4"/>
        <v>0</v>
      </c>
      <c r="T36" s="216">
        <f t="shared" si="5"/>
        <v>0</v>
      </c>
      <c r="U36" s="147">
        <f>Q36</f>
        <v>0</v>
      </c>
      <c r="V36" s="148"/>
      <c r="W36" s="148"/>
      <c r="X36" s="148"/>
      <c r="Y36" s="148"/>
      <c r="Z36" s="148"/>
      <c r="AA36" s="148"/>
      <c r="AB36" s="149"/>
      <c r="AC36" s="150"/>
      <c r="AD36" s="76"/>
      <c r="AE36" s="76"/>
      <c r="AF36" s="128"/>
    </row>
    <row r="37" spans="1:32" s="2" customFormat="1" ht="21" x14ac:dyDescent="0.35">
      <c r="A37" s="8" t="s">
        <v>77</v>
      </c>
      <c r="B37" s="12" t="s">
        <v>712</v>
      </c>
      <c r="C37" s="21"/>
      <c r="D37" s="22"/>
      <c r="E37" s="22"/>
      <c r="F37" s="84">
        <f>F38+F43+F50+F56+F61+F65+F71+F77+F80</f>
        <v>99216</v>
      </c>
      <c r="G37" s="89">
        <f t="shared" si="7"/>
        <v>-6901</v>
      </c>
      <c r="H37" s="16">
        <f t="shared" si="22"/>
        <v>92315</v>
      </c>
      <c r="I37" s="51">
        <f t="shared" ref="I37:AE37" si="23">I38+I43+I50+I56+I61+I65+I71+I77+I80</f>
        <v>43200</v>
      </c>
      <c r="J37" s="52">
        <f t="shared" si="23"/>
        <v>6380</v>
      </c>
      <c r="K37" s="52">
        <f t="shared" si="23"/>
        <v>3895</v>
      </c>
      <c r="L37" s="52">
        <f t="shared" si="23"/>
        <v>0</v>
      </c>
      <c r="M37" s="52">
        <f t="shared" si="23"/>
        <v>0</v>
      </c>
      <c r="N37" s="52">
        <f t="shared" si="23"/>
        <v>15800</v>
      </c>
      <c r="O37" s="52">
        <f t="shared" si="23"/>
        <v>0</v>
      </c>
      <c r="P37" s="52">
        <f t="shared" si="23"/>
        <v>17740</v>
      </c>
      <c r="Q37" s="53">
        <f t="shared" si="23"/>
        <v>5300</v>
      </c>
      <c r="R37" s="168">
        <f>R38+R43+R50+R56+R61+R65+R71+R77+R80</f>
        <v>30411.589999999997</v>
      </c>
      <c r="S37" s="89">
        <f t="shared" si="4"/>
        <v>-30411.589999999997</v>
      </c>
      <c r="T37" s="216">
        <f t="shared" si="5"/>
        <v>0</v>
      </c>
      <c r="U37" s="144">
        <f>U38+U43+U50+U56+U61+U65+U71+U77+U80</f>
        <v>0</v>
      </c>
      <c r="V37" s="145">
        <f t="shared" ref="V37:AC37" si="24">V38+V43+V50+V56+V61+V65+V71+V77+V80</f>
        <v>0</v>
      </c>
      <c r="W37" s="145">
        <f t="shared" si="24"/>
        <v>0</v>
      </c>
      <c r="X37" s="145">
        <f t="shared" si="24"/>
        <v>0</v>
      </c>
      <c r="Y37" s="145">
        <f t="shared" si="24"/>
        <v>0</v>
      </c>
      <c r="Z37" s="145">
        <f t="shared" si="24"/>
        <v>0</v>
      </c>
      <c r="AA37" s="145">
        <f t="shared" si="24"/>
        <v>0</v>
      </c>
      <c r="AB37" s="145">
        <f t="shared" si="24"/>
        <v>0</v>
      </c>
      <c r="AC37" s="146">
        <f t="shared" si="24"/>
        <v>0</v>
      </c>
      <c r="AD37" s="32">
        <f t="shared" si="23"/>
        <v>72158</v>
      </c>
      <c r="AE37" s="32">
        <f t="shared" si="23"/>
        <v>50537.54</v>
      </c>
      <c r="AF37" s="126">
        <f>AE37*100/AD37</f>
        <v>70.037334737659023</v>
      </c>
    </row>
    <row r="38" spans="1:32" s="3" customFormat="1" ht="15.75" outlineLevel="1" x14ac:dyDescent="0.25">
      <c r="A38" s="7" t="s">
        <v>1</v>
      </c>
      <c r="B38" s="13" t="s">
        <v>78</v>
      </c>
      <c r="C38" s="23"/>
      <c r="D38" s="24"/>
      <c r="E38" s="17"/>
      <c r="F38" s="82">
        <f>SUM(F39:F42)</f>
        <v>4150</v>
      </c>
      <c r="G38" s="89">
        <f t="shared" si="7"/>
        <v>0</v>
      </c>
      <c r="H38" s="18">
        <f t="shared" si="22"/>
        <v>4150</v>
      </c>
      <c r="I38" s="54">
        <f t="shared" ref="I38:Q38" si="25">SUM(I39:I42)</f>
        <v>1350</v>
      </c>
      <c r="J38" s="55">
        <f t="shared" si="25"/>
        <v>0</v>
      </c>
      <c r="K38" s="55">
        <f t="shared" si="25"/>
        <v>0</v>
      </c>
      <c r="L38" s="55">
        <f t="shared" si="25"/>
        <v>0</v>
      </c>
      <c r="M38" s="55">
        <f>SUM(M39:M42)</f>
        <v>0</v>
      </c>
      <c r="N38" s="55">
        <f t="shared" si="25"/>
        <v>2800</v>
      </c>
      <c r="O38" s="55">
        <f t="shared" si="25"/>
        <v>0</v>
      </c>
      <c r="P38" s="55">
        <f t="shared" si="25"/>
        <v>0</v>
      </c>
      <c r="Q38" s="56">
        <f t="shared" si="25"/>
        <v>0</v>
      </c>
      <c r="R38" s="169">
        <f>SUM(R39:R42)</f>
        <v>1350</v>
      </c>
      <c r="S38" s="89">
        <f t="shared" si="4"/>
        <v>-1350</v>
      </c>
      <c r="T38" s="216">
        <f t="shared" si="5"/>
        <v>0</v>
      </c>
      <c r="U38" s="144">
        <f t="shared" ref="U38:AC38" si="26">SUM(U39:U42)</f>
        <v>0</v>
      </c>
      <c r="V38" s="145">
        <f t="shared" si="26"/>
        <v>0</v>
      </c>
      <c r="W38" s="145">
        <f t="shared" si="26"/>
        <v>0</v>
      </c>
      <c r="X38" s="145">
        <f t="shared" si="26"/>
        <v>0</v>
      </c>
      <c r="Y38" s="145">
        <f t="shared" si="26"/>
        <v>0</v>
      </c>
      <c r="Z38" s="145">
        <f t="shared" si="26"/>
        <v>0</v>
      </c>
      <c r="AA38" s="145">
        <f t="shared" si="26"/>
        <v>0</v>
      </c>
      <c r="AB38" s="145">
        <f t="shared" si="26"/>
        <v>0</v>
      </c>
      <c r="AC38" s="146">
        <f t="shared" si="26"/>
        <v>0</v>
      </c>
      <c r="AD38" s="33">
        <v>7568</v>
      </c>
      <c r="AE38" s="33">
        <f>880+150+1118.74+2229.39</f>
        <v>4378.1299999999992</v>
      </c>
      <c r="AF38" s="127">
        <f>AE38*100/AD38</f>
        <v>57.850554968287518</v>
      </c>
    </row>
    <row r="39" spans="1:32" outlineLevel="1" x14ac:dyDescent="0.25">
      <c r="A39" s="4" t="s">
        <v>3</v>
      </c>
      <c r="B39" s="75" t="s">
        <v>79</v>
      </c>
      <c r="C39" s="25"/>
      <c r="D39" s="92">
        <v>1</v>
      </c>
      <c r="E39" s="110">
        <v>2000</v>
      </c>
      <c r="F39" s="93">
        <f>D39*E39</f>
        <v>2000</v>
      </c>
      <c r="G39" s="74">
        <f t="shared" si="7"/>
        <v>0</v>
      </c>
      <c r="H39" s="95">
        <f t="shared" si="22"/>
        <v>2000</v>
      </c>
      <c r="I39" s="112"/>
      <c r="J39" s="57"/>
      <c r="K39" s="57"/>
      <c r="L39" s="57"/>
      <c r="M39" s="57"/>
      <c r="N39" s="57">
        <v>2000</v>
      </c>
      <c r="O39" s="57"/>
      <c r="P39" s="68"/>
      <c r="Q39" s="58"/>
      <c r="R39" s="170">
        <f>P39*Q39</f>
        <v>0</v>
      </c>
      <c r="S39" s="89">
        <f t="shared" si="4"/>
        <v>0</v>
      </c>
      <c r="T39" s="216">
        <f t="shared" si="5"/>
        <v>0</v>
      </c>
      <c r="U39" s="147"/>
      <c r="V39" s="148"/>
      <c r="W39" s="148"/>
      <c r="X39" s="148"/>
      <c r="Y39" s="148"/>
      <c r="Z39" s="148"/>
      <c r="AA39" s="148"/>
      <c r="AB39" s="149"/>
      <c r="AC39" s="150"/>
      <c r="AD39" s="76"/>
      <c r="AE39" s="76"/>
      <c r="AF39" s="128"/>
    </row>
    <row r="40" spans="1:32" outlineLevel="1" x14ac:dyDescent="0.25">
      <c r="A40" s="4" t="s">
        <v>4</v>
      </c>
      <c r="B40" s="75" t="s">
        <v>513</v>
      </c>
      <c r="C40" s="25"/>
      <c r="D40" s="92">
        <v>1</v>
      </c>
      <c r="E40" s="110">
        <v>800</v>
      </c>
      <c r="F40" s="93">
        <f>D40*E40</f>
        <v>800</v>
      </c>
      <c r="G40" s="74">
        <f t="shared" si="7"/>
        <v>0</v>
      </c>
      <c r="H40" s="95">
        <f t="shared" si="22"/>
        <v>800</v>
      </c>
      <c r="I40" s="112"/>
      <c r="J40" s="57"/>
      <c r="K40" s="57"/>
      <c r="L40" s="57"/>
      <c r="M40" s="57"/>
      <c r="N40" s="57">
        <v>800</v>
      </c>
      <c r="O40" s="57"/>
      <c r="P40" s="68"/>
      <c r="Q40" s="58"/>
      <c r="R40" s="170">
        <f>P40*Q40</f>
        <v>0</v>
      </c>
      <c r="S40" s="89">
        <f t="shared" si="4"/>
        <v>0</v>
      </c>
      <c r="T40" s="216">
        <f t="shared" si="5"/>
        <v>0</v>
      </c>
      <c r="U40" s="147"/>
      <c r="V40" s="148"/>
      <c r="W40" s="148"/>
      <c r="X40" s="148"/>
      <c r="Y40" s="148"/>
      <c r="Z40" s="148"/>
      <c r="AA40" s="148"/>
      <c r="AB40" s="149"/>
      <c r="AC40" s="150"/>
      <c r="AD40" s="76"/>
      <c r="AE40" s="76"/>
      <c r="AF40" s="128"/>
    </row>
    <row r="41" spans="1:32" outlineLevel="1" x14ac:dyDescent="0.25">
      <c r="A41" s="4" t="s">
        <v>5</v>
      </c>
      <c r="B41" s="75" t="s">
        <v>80</v>
      </c>
      <c r="C41" s="25"/>
      <c r="D41" s="92">
        <v>1</v>
      </c>
      <c r="E41" s="110">
        <v>1350</v>
      </c>
      <c r="F41" s="93">
        <f>D41*E41</f>
        <v>1350</v>
      </c>
      <c r="G41" s="74">
        <f t="shared" si="7"/>
        <v>0</v>
      </c>
      <c r="H41" s="95">
        <f t="shared" si="22"/>
        <v>1350</v>
      </c>
      <c r="I41" s="112">
        <f>F41</f>
        <v>1350</v>
      </c>
      <c r="J41" s="57"/>
      <c r="K41" s="57"/>
      <c r="L41" s="57"/>
      <c r="M41" s="57"/>
      <c r="N41" s="57"/>
      <c r="O41" s="57"/>
      <c r="P41" s="68"/>
      <c r="Q41" s="58"/>
      <c r="R41" s="170">
        <v>1350</v>
      </c>
      <c r="S41" s="89">
        <f t="shared" si="4"/>
        <v>-1350</v>
      </c>
      <c r="T41" s="216">
        <f t="shared" si="5"/>
        <v>0</v>
      </c>
      <c r="U41" s="147">
        <f>Q41</f>
        <v>0</v>
      </c>
      <c r="V41" s="148"/>
      <c r="W41" s="148"/>
      <c r="X41" s="148"/>
      <c r="Y41" s="148"/>
      <c r="Z41" s="148"/>
      <c r="AA41" s="148"/>
      <c r="AB41" s="149"/>
      <c r="AC41" s="150"/>
      <c r="AD41" s="76"/>
      <c r="AE41" s="76"/>
      <c r="AF41" s="128"/>
    </row>
    <row r="42" spans="1:32" outlineLevel="1" x14ac:dyDescent="0.25">
      <c r="A42" s="4" t="s">
        <v>6</v>
      </c>
      <c r="B42" s="75" t="s">
        <v>47</v>
      </c>
      <c r="C42" s="25"/>
      <c r="D42" s="92"/>
      <c r="E42" s="110"/>
      <c r="F42" s="93">
        <f>D42*E42</f>
        <v>0</v>
      </c>
      <c r="G42" s="74">
        <f t="shared" si="7"/>
        <v>0</v>
      </c>
      <c r="H42" s="95">
        <f t="shared" si="22"/>
        <v>0</v>
      </c>
      <c r="I42" s="112">
        <f>F42</f>
        <v>0</v>
      </c>
      <c r="J42" s="57"/>
      <c r="K42" s="57"/>
      <c r="L42" s="57"/>
      <c r="M42" s="57"/>
      <c r="N42" s="57"/>
      <c r="O42" s="57"/>
      <c r="P42" s="68"/>
      <c r="Q42" s="58"/>
      <c r="R42" s="170">
        <f>P42*Q42</f>
        <v>0</v>
      </c>
      <c r="S42" s="89">
        <f t="shared" si="4"/>
        <v>0</v>
      </c>
      <c r="T42" s="216">
        <f t="shared" si="5"/>
        <v>0</v>
      </c>
      <c r="U42" s="147">
        <f>Q42</f>
        <v>0</v>
      </c>
      <c r="V42" s="148"/>
      <c r="W42" s="148"/>
      <c r="X42" s="148"/>
      <c r="Y42" s="148"/>
      <c r="Z42" s="148"/>
      <c r="AA42" s="148"/>
      <c r="AB42" s="149"/>
      <c r="AC42" s="150"/>
      <c r="AD42" s="76"/>
      <c r="AE42" s="76"/>
      <c r="AF42" s="128"/>
    </row>
    <row r="43" spans="1:32" s="3" customFormat="1" ht="15.75" x14ac:dyDescent="0.25">
      <c r="A43" s="7" t="s">
        <v>2</v>
      </c>
      <c r="B43" s="13" t="s">
        <v>728</v>
      </c>
      <c r="C43" s="23"/>
      <c r="D43" s="24"/>
      <c r="E43" s="17"/>
      <c r="F43" s="82">
        <f>SUM(F44:F49)</f>
        <v>34096</v>
      </c>
      <c r="G43" s="89">
        <f t="shared" si="7"/>
        <v>-3601</v>
      </c>
      <c r="H43" s="18">
        <f t="shared" si="22"/>
        <v>30495</v>
      </c>
      <c r="I43" s="54">
        <f t="shared" ref="I43:Q43" si="27">SUM(I44:I49)</f>
        <v>7500</v>
      </c>
      <c r="J43" s="55">
        <f t="shared" si="27"/>
        <v>1000</v>
      </c>
      <c r="K43" s="55">
        <f t="shared" si="27"/>
        <v>3895</v>
      </c>
      <c r="L43" s="55">
        <f t="shared" si="27"/>
        <v>0</v>
      </c>
      <c r="M43" s="55">
        <f t="shared" si="27"/>
        <v>0</v>
      </c>
      <c r="N43" s="55">
        <f t="shared" si="27"/>
        <v>12000</v>
      </c>
      <c r="O43" s="55">
        <f t="shared" si="27"/>
        <v>0</v>
      </c>
      <c r="P43" s="55">
        <f t="shared" si="27"/>
        <v>1600</v>
      </c>
      <c r="Q43" s="56">
        <f t="shared" si="27"/>
        <v>4500</v>
      </c>
      <c r="R43" s="169">
        <f>SUM(R44:R49)</f>
        <v>9445.64</v>
      </c>
      <c r="S43" s="89">
        <f t="shared" si="4"/>
        <v>-9445.64</v>
      </c>
      <c r="T43" s="216">
        <f t="shared" si="5"/>
        <v>0</v>
      </c>
      <c r="U43" s="144">
        <f>SUM(U44:U49)</f>
        <v>0</v>
      </c>
      <c r="V43" s="145">
        <f t="shared" ref="V43:AC43" si="28">SUM(V44:V49)</f>
        <v>0</v>
      </c>
      <c r="W43" s="145">
        <f t="shared" si="28"/>
        <v>0</v>
      </c>
      <c r="X43" s="145">
        <f t="shared" si="28"/>
        <v>0</v>
      </c>
      <c r="Y43" s="145">
        <f t="shared" si="28"/>
        <v>0</v>
      </c>
      <c r="Z43" s="145">
        <f t="shared" si="28"/>
        <v>0</v>
      </c>
      <c r="AA43" s="145">
        <f t="shared" si="28"/>
        <v>0</v>
      </c>
      <c r="AB43" s="145">
        <f t="shared" si="28"/>
        <v>0</v>
      </c>
      <c r="AC43" s="146">
        <f t="shared" si="28"/>
        <v>0</v>
      </c>
      <c r="AD43" s="33">
        <v>35000</v>
      </c>
      <c r="AE43" s="33">
        <f>21630.2+2405.79</f>
        <v>24035.99</v>
      </c>
      <c r="AF43" s="127">
        <f>AE43*100/AD43</f>
        <v>68.674257142857144</v>
      </c>
    </row>
    <row r="44" spans="1:32" outlineLevel="1" x14ac:dyDescent="0.25">
      <c r="A44" s="4" t="s">
        <v>10</v>
      </c>
      <c r="B44" s="75" t="s">
        <v>82</v>
      </c>
      <c r="C44" s="25" t="s">
        <v>923</v>
      </c>
      <c r="D44" s="92">
        <v>2</v>
      </c>
      <c r="E44" s="110">
        <v>1500</v>
      </c>
      <c r="F44" s="93">
        <f t="shared" ref="F44:F49" si="29">D44*E44</f>
        <v>3000</v>
      </c>
      <c r="G44" s="74">
        <f t="shared" si="7"/>
        <v>0</v>
      </c>
      <c r="H44" s="95">
        <f t="shared" si="22"/>
        <v>3000</v>
      </c>
      <c r="I44" s="112"/>
      <c r="J44" s="57"/>
      <c r="K44" s="57">
        <v>3000</v>
      </c>
      <c r="L44" s="57"/>
      <c r="M44" s="57"/>
      <c r="N44" s="57"/>
      <c r="O44" s="57"/>
      <c r="P44" s="68"/>
      <c r="Q44" s="58"/>
      <c r="R44" s="170">
        <v>1271.72</v>
      </c>
      <c r="S44" s="89">
        <f t="shared" si="4"/>
        <v>-1271.72</v>
      </c>
      <c r="T44" s="216">
        <f t="shared" si="5"/>
        <v>0</v>
      </c>
      <c r="U44" s="147"/>
      <c r="V44" s="148"/>
      <c r="W44" s="148"/>
      <c r="X44" s="148"/>
      <c r="Y44" s="148"/>
      <c r="Z44" s="148"/>
      <c r="AA44" s="148"/>
      <c r="AB44" s="149"/>
      <c r="AC44" s="150"/>
      <c r="AD44" s="76"/>
      <c r="AE44" s="76"/>
      <c r="AF44" s="128"/>
    </row>
    <row r="45" spans="1:32" outlineLevel="1" x14ac:dyDescent="0.25">
      <c r="A45" s="4" t="s">
        <v>11</v>
      </c>
      <c r="B45" s="75" t="s">
        <v>514</v>
      </c>
      <c r="C45" s="25"/>
      <c r="D45" s="92">
        <v>1</v>
      </c>
      <c r="E45" s="110">
        <v>19996</v>
      </c>
      <c r="F45" s="93">
        <f t="shared" si="29"/>
        <v>19996</v>
      </c>
      <c r="G45" s="74">
        <f t="shared" si="7"/>
        <v>-1601</v>
      </c>
      <c r="H45" s="95">
        <f t="shared" si="22"/>
        <v>18395</v>
      </c>
      <c r="I45" s="112">
        <v>3000</v>
      </c>
      <c r="J45" s="57">
        <v>1000</v>
      </c>
      <c r="K45" s="57">
        <v>895</v>
      </c>
      <c r="L45" s="57"/>
      <c r="M45" s="57"/>
      <c r="N45" s="57">
        <v>9000</v>
      </c>
      <c r="O45" s="57"/>
      <c r="P45" s="68"/>
      <c r="Q45" s="58">
        <v>4500</v>
      </c>
      <c r="R45" s="170">
        <v>4698.37</v>
      </c>
      <c r="S45" s="89">
        <f t="shared" si="4"/>
        <v>-4698.37</v>
      </c>
      <c r="T45" s="216">
        <f t="shared" si="5"/>
        <v>0</v>
      </c>
      <c r="U45" s="147"/>
      <c r="V45" s="148"/>
      <c r="W45" s="148"/>
      <c r="X45" s="148"/>
      <c r="Y45" s="148"/>
      <c r="Z45" s="148"/>
      <c r="AA45" s="148"/>
      <c r="AB45" s="149"/>
      <c r="AC45" s="150"/>
      <c r="AD45" s="76"/>
      <c r="AE45" s="76"/>
      <c r="AF45" s="128"/>
    </row>
    <row r="46" spans="1:32" outlineLevel="1" x14ac:dyDescent="0.25">
      <c r="A46" s="4" t="s">
        <v>12</v>
      </c>
      <c r="B46" s="75" t="s">
        <v>740</v>
      </c>
      <c r="C46" s="25"/>
      <c r="D46" s="92">
        <v>1</v>
      </c>
      <c r="E46" s="110">
        <v>750</v>
      </c>
      <c r="F46" s="93">
        <f t="shared" si="29"/>
        <v>750</v>
      </c>
      <c r="G46" s="74">
        <f t="shared" si="7"/>
        <v>0</v>
      </c>
      <c r="H46" s="95">
        <f t="shared" si="22"/>
        <v>750</v>
      </c>
      <c r="I46" s="112">
        <v>750</v>
      </c>
      <c r="J46" s="57"/>
      <c r="K46" s="57"/>
      <c r="L46" s="57"/>
      <c r="M46" s="57"/>
      <c r="N46" s="57"/>
      <c r="O46" s="57"/>
      <c r="P46" s="68"/>
      <c r="Q46" s="58"/>
      <c r="R46" s="170">
        <f>P46*Q46</f>
        <v>0</v>
      </c>
      <c r="S46" s="89">
        <f t="shared" si="4"/>
        <v>0</v>
      </c>
      <c r="T46" s="216">
        <f t="shared" si="5"/>
        <v>0</v>
      </c>
      <c r="U46" s="147"/>
      <c r="V46" s="148"/>
      <c r="W46" s="148"/>
      <c r="X46" s="148"/>
      <c r="Y46" s="148"/>
      <c r="Z46" s="148"/>
      <c r="AA46" s="148"/>
      <c r="AB46" s="149"/>
      <c r="AC46" s="150"/>
      <c r="AD46" s="76"/>
      <c r="AE46" s="76"/>
      <c r="AF46" s="128"/>
    </row>
    <row r="47" spans="1:32" outlineLevel="1" x14ac:dyDescent="0.25">
      <c r="A47" s="4" t="s">
        <v>13</v>
      </c>
      <c r="B47" s="75" t="s">
        <v>739</v>
      </c>
      <c r="C47" s="25"/>
      <c r="D47" s="92">
        <v>1</v>
      </c>
      <c r="E47" s="110">
        <v>750</v>
      </c>
      <c r="F47" s="93">
        <f t="shared" si="29"/>
        <v>750</v>
      </c>
      <c r="G47" s="74">
        <f t="shared" si="7"/>
        <v>0</v>
      </c>
      <c r="H47" s="95">
        <f t="shared" si="22"/>
        <v>750</v>
      </c>
      <c r="I47" s="112">
        <v>750</v>
      </c>
      <c r="J47" s="57"/>
      <c r="K47" s="57"/>
      <c r="L47" s="57"/>
      <c r="M47" s="57"/>
      <c r="N47" s="57"/>
      <c r="O47" s="57"/>
      <c r="P47" s="68"/>
      <c r="Q47" s="58"/>
      <c r="R47" s="170">
        <f>P47*Q47</f>
        <v>0</v>
      </c>
      <c r="S47" s="89">
        <f t="shared" si="4"/>
        <v>0</v>
      </c>
      <c r="T47" s="216">
        <f t="shared" si="5"/>
        <v>0</v>
      </c>
      <c r="U47" s="147"/>
      <c r="V47" s="148"/>
      <c r="W47" s="148"/>
      <c r="X47" s="148"/>
      <c r="Y47" s="148"/>
      <c r="Z47" s="148"/>
      <c r="AA47" s="148"/>
      <c r="AB47" s="149"/>
      <c r="AC47" s="150"/>
      <c r="AD47" s="76"/>
      <c r="AE47" s="76"/>
      <c r="AF47" s="128"/>
    </row>
    <row r="48" spans="1:32" outlineLevel="1" x14ac:dyDescent="0.25">
      <c r="A48" s="4" t="s">
        <v>14</v>
      </c>
      <c r="B48" s="75" t="s">
        <v>989</v>
      </c>
      <c r="C48" s="109"/>
      <c r="D48" s="118">
        <v>12</v>
      </c>
      <c r="E48" s="119">
        <v>800</v>
      </c>
      <c r="F48" s="93">
        <f>D48*E48</f>
        <v>9600</v>
      </c>
      <c r="G48" s="74">
        <f>H48-F48</f>
        <v>-2000</v>
      </c>
      <c r="H48" s="95">
        <f t="shared" si="22"/>
        <v>7600</v>
      </c>
      <c r="I48" s="112">
        <v>3000</v>
      </c>
      <c r="J48" s="57"/>
      <c r="K48" s="57"/>
      <c r="L48" s="57"/>
      <c r="M48" s="57"/>
      <c r="N48" s="57">
        <v>3000</v>
      </c>
      <c r="O48" s="57"/>
      <c r="P48" s="68">
        <v>1600</v>
      </c>
      <c r="Q48" s="58"/>
      <c r="R48" s="170">
        <v>3382</v>
      </c>
      <c r="S48" s="89">
        <f t="shared" si="4"/>
        <v>-3382</v>
      </c>
      <c r="T48" s="216">
        <f t="shared" si="5"/>
        <v>0</v>
      </c>
      <c r="U48" s="147"/>
      <c r="V48" s="148"/>
      <c r="W48" s="148"/>
      <c r="X48" s="148"/>
      <c r="Y48" s="148"/>
      <c r="Z48" s="148"/>
      <c r="AA48" s="148"/>
      <c r="AB48" s="149"/>
      <c r="AC48" s="150"/>
      <c r="AD48" s="76"/>
      <c r="AE48" s="76"/>
      <c r="AF48" s="128"/>
    </row>
    <row r="49" spans="1:32" outlineLevel="1" x14ac:dyDescent="0.25">
      <c r="A49" s="4" t="s">
        <v>962</v>
      </c>
      <c r="B49" s="75" t="s">
        <v>47</v>
      </c>
      <c r="C49" s="25"/>
      <c r="D49" s="92"/>
      <c r="E49" s="110"/>
      <c r="F49" s="93">
        <f t="shared" si="29"/>
        <v>0</v>
      </c>
      <c r="G49" s="74">
        <f t="shared" si="7"/>
        <v>0</v>
      </c>
      <c r="H49" s="95">
        <f t="shared" si="22"/>
        <v>0</v>
      </c>
      <c r="I49" s="112"/>
      <c r="J49" s="57"/>
      <c r="K49" s="57"/>
      <c r="L49" s="57"/>
      <c r="M49" s="57"/>
      <c r="N49" s="57"/>
      <c r="O49" s="57"/>
      <c r="P49" s="68"/>
      <c r="Q49" s="58"/>
      <c r="R49" s="170">
        <v>93.55</v>
      </c>
      <c r="S49" s="89">
        <f t="shared" si="4"/>
        <v>-93.55</v>
      </c>
      <c r="T49" s="216">
        <f t="shared" si="5"/>
        <v>0</v>
      </c>
      <c r="U49" s="147"/>
      <c r="V49" s="148"/>
      <c r="W49" s="148"/>
      <c r="X49" s="148"/>
      <c r="Y49" s="148"/>
      <c r="Z49" s="148"/>
      <c r="AA49" s="148"/>
      <c r="AB49" s="149"/>
      <c r="AC49" s="150"/>
      <c r="AD49" s="76"/>
      <c r="AE49" s="76"/>
      <c r="AF49" s="128"/>
    </row>
    <row r="50" spans="1:32" s="3" customFormat="1" ht="15.75" x14ac:dyDescent="0.25">
      <c r="A50" s="7" t="s">
        <v>26</v>
      </c>
      <c r="B50" s="13" t="s">
        <v>322</v>
      </c>
      <c r="C50" s="23"/>
      <c r="D50" s="24"/>
      <c r="E50" s="17"/>
      <c r="F50" s="82">
        <f>SUM(F51:F55)</f>
        <v>4500</v>
      </c>
      <c r="G50" s="89">
        <f>SUM(G51:G55)</f>
        <v>-3500</v>
      </c>
      <c r="H50" s="18">
        <f t="shared" si="22"/>
        <v>1000</v>
      </c>
      <c r="I50" s="54">
        <f t="shared" ref="I50:Q50" si="30">SUM(I51:I55)</f>
        <v>0</v>
      </c>
      <c r="J50" s="55">
        <f t="shared" si="30"/>
        <v>0</v>
      </c>
      <c r="K50" s="55">
        <f t="shared" si="30"/>
        <v>0</v>
      </c>
      <c r="L50" s="55">
        <f t="shared" si="30"/>
        <v>0</v>
      </c>
      <c r="M50" s="55">
        <f t="shared" si="30"/>
        <v>0</v>
      </c>
      <c r="N50" s="55">
        <f t="shared" si="30"/>
        <v>1000</v>
      </c>
      <c r="O50" s="55">
        <f t="shared" si="30"/>
        <v>0</v>
      </c>
      <c r="P50" s="55">
        <f t="shared" si="30"/>
        <v>0</v>
      </c>
      <c r="Q50" s="56">
        <f t="shared" si="30"/>
        <v>0</v>
      </c>
      <c r="R50" s="169">
        <f>SUM(R51:R55)</f>
        <v>2322</v>
      </c>
      <c r="S50" s="89">
        <f t="shared" si="4"/>
        <v>-2322</v>
      </c>
      <c r="T50" s="216">
        <f t="shared" si="5"/>
        <v>0</v>
      </c>
      <c r="U50" s="144">
        <f>SUM(U51:U55)</f>
        <v>0</v>
      </c>
      <c r="V50" s="145">
        <f t="shared" ref="V50:AC50" si="31">SUM(V51:V55)</f>
        <v>0</v>
      </c>
      <c r="W50" s="145">
        <f t="shared" si="31"/>
        <v>0</v>
      </c>
      <c r="X50" s="145">
        <f t="shared" si="31"/>
        <v>0</v>
      </c>
      <c r="Y50" s="145">
        <f t="shared" si="31"/>
        <v>0</v>
      </c>
      <c r="Z50" s="145">
        <f t="shared" si="31"/>
        <v>0</v>
      </c>
      <c r="AA50" s="145">
        <f t="shared" si="31"/>
        <v>0</v>
      </c>
      <c r="AB50" s="145">
        <f t="shared" si="31"/>
        <v>0</v>
      </c>
      <c r="AC50" s="146">
        <f t="shared" si="31"/>
        <v>0</v>
      </c>
      <c r="AD50" s="33">
        <v>4000</v>
      </c>
      <c r="AE50" s="33">
        <v>9634.94</v>
      </c>
      <c r="AF50" s="127">
        <f>AE50*100/AD50</f>
        <v>240.87350000000001</v>
      </c>
    </row>
    <row r="51" spans="1:32" outlineLevel="1" x14ac:dyDescent="0.25">
      <c r="A51" s="5" t="s">
        <v>715</v>
      </c>
      <c r="B51" s="75" t="s">
        <v>731</v>
      </c>
      <c r="C51" s="25"/>
      <c r="D51" s="92">
        <v>3</v>
      </c>
      <c r="E51" s="110">
        <v>1000</v>
      </c>
      <c r="F51" s="93">
        <f>D51*E51</f>
        <v>3000</v>
      </c>
      <c r="G51" s="74">
        <f>H51-F51</f>
        <v>-2000</v>
      </c>
      <c r="H51" s="95">
        <f t="shared" si="22"/>
        <v>1000</v>
      </c>
      <c r="I51" s="112"/>
      <c r="J51" s="57"/>
      <c r="K51" s="57"/>
      <c r="L51" s="57"/>
      <c r="M51" s="57"/>
      <c r="N51" s="57">
        <v>1000</v>
      </c>
      <c r="O51" s="57"/>
      <c r="P51" s="68"/>
      <c r="Q51" s="58"/>
      <c r="R51" s="170">
        <v>852.24</v>
      </c>
      <c r="S51" s="89">
        <f t="shared" si="4"/>
        <v>-852.24</v>
      </c>
      <c r="T51" s="216">
        <f t="shared" si="5"/>
        <v>0</v>
      </c>
      <c r="U51" s="147"/>
      <c r="V51" s="148"/>
      <c r="W51" s="148"/>
      <c r="X51" s="148"/>
      <c r="Y51" s="148"/>
      <c r="Z51" s="148"/>
      <c r="AA51" s="148"/>
      <c r="AB51" s="149"/>
      <c r="AC51" s="150"/>
      <c r="AD51" s="76"/>
      <c r="AE51" s="76"/>
      <c r="AF51" s="128"/>
    </row>
    <row r="52" spans="1:32" outlineLevel="1" x14ac:dyDescent="0.25">
      <c r="A52" s="4" t="s">
        <v>716</v>
      </c>
      <c r="B52" s="75" t="s">
        <v>732</v>
      </c>
      <c r="C52" s="25"/>
      <c r="D52" s="92">
        <v>2</v>
      </c>
      <c r="E52" s="110">
        <v>250</v>
      </c>
      <c r="F52" s="93">
        <f>D52*E52</f>
        <v>500</v>
      </c>
      <c r="G52" s="74">
        <f>H52-F52</f>
        <v>-500</v>
      </c>
      <c r="H52" s="95">
        <f t="shared" si="22"/>
        <v>0</v>
      </c>
      <c r="I52" s="112"/>
      <c r="J52" s="57"/>
      <c r="K52" s="57"/>
      <c r="L52" s="57"/>
      <c r="M52" s="57"/>
      <c r="N52" s="57"/>
      <c r="O52" s="57"/>
      <c r="P52" s="68"/>
      <c r="Q52" s="58"/>
      <c r="R52" s="170">
        <v>1469.76</v>
      </c>
      <c r="S52" s="89">
        <f t="shared" si="4"/>
        <v>-1469.76</v>
      </c>
      <c r="T52" s="216">
        <f t="shared" si="5"/>
        <v>0</v>
      </c>
      <c r="U52" s="147"/>
      <c r="V52" s="148"/>
      <c r="W52" s="148"/>
      <c r="X52" s="148"/>
      <c r="Y52" s="148"/>
      <c r="Z52" s="148"/>
      <c r="AA52" s="148"/>
      <c r="AB52" s="149"/>
      <c r="AC52" s="150"/>
      <c r="AD52" s="76"/>
      <c r="AE52" s="76"/>
      <c r="AF52" s="128"/>
    </row>
    <row r="53" spans="1:32" outlineLevel="1" x14ac:dyDescent="0.25">
      <c r="A53" s="4" t="s">
        <v>717</v>
      </c>
      <c r="B53" s="75" t="s">
        <v>733</v>
      </c>
      <c r="C53" s="25"/>
      <c r="D53" s="92">
        <v>1</v>
      </c>
      <c r="E53" s="110">
        <v>500</v>
      </c>
      <c r="F53" s="93">
        <f>D53*E53</f>
        <v>500</v>
      </c>
      <c r="G53" s="74">
        <f>H53-F53</f>
        <v>-500</v>
      </c>
      <c r="H53" s="95">
        <f t="shared" si="22"/>
        <v>0</v>
      </c>
      <c r="I53" s="112"/>
      <c r="J53" s="57"/>
      <c r="K53" s="57"/>
      <c r="L53" s="57"/>
      <c r="M53" s="57"/>
      <c r="N53" s="57"/>
      <c r="O53" s="57"/>
      <c r="P53" s="68"/>
      <c r="Q53" s="58"/>
      <c r="R53" s="170">
        <f>P53*Q53</f>
        <v>0</v>
      </c>
      <c r="S53" s="89">
        <f t="shared" si="4"/>
        <v>0</v>
      </c>
      <c r="T53" s="216">
        <f t="shared" si="5"/>
        <v>0</v>
      </c>
      <c r="U53" s="147"/>
      <c r="V53" s="148"/>
      <c r="W53" s="148"/>
      <c r="X53" s="148"/>
      <c r="Y53" s="148"/>
      <c r="Z53" s="148"/>
      <c r="AA53" s="148"/>
      <c r="AB53" s="149"/>
      <c r="AC53" s="150"/>
      <c r="AD53" s="76"/>
      <c r="AE53" s="76"/>
      <c r="AF53" s="128"/>
    </row>
    <row r="54" spans="1:32" outlineLevel="1" x14ac:dyDescent="0.25">
      <c r="A54" s="4" t="s">
        <v>718</v>
      </c>
      <c r="B54" s="75" t="s">
        <v>734</v>
      </c>
      <c r="C54" s="25"/>
      <c r="D54" s="92">
        <v>1</v>
      </c>
      <c r="E54" s="110">
        <v>500</v>
      </c>
      <c r="F54" s="93">
        <f>D54*E54</f>
        <v>500</v>
      </c>
      <c r="G54" s="74">
        <f>H54-F54</f>
        <v>-500</v>
      </c>
      <c r="H54" s="95">
        <f t="shared" si="22"/>
        <v>0</v>
      </c>
      <c r="I54" s="112"/>
      <c r="J54" s="57"/>
      <c r="K54" s="57"/>
      <c r="L54" s="57"/>
      <c r="M54" s="57"/>
      <c r="N54" s="57"/>
      <c r="O54" s="57"/>
      <c r="P54" s="68"/>
      <c r="Q54" s="58"/>
      <c r="R54" s="170">
        <f>P54*Q54</f>
        <v>0</v>
      </c>
      <c r="S54" s="89">
        <f t="shared" si="4"/>
        <v>0</v>
      </c>
      <c r="T54" s="216">
        <f t="shared" si="5"/>
        <v>0</v>
      </c>
      <c r="U54" s="147"/>
      <c r="V54" s="148"/>
      <c r="W54" s="148"/>
      <c r="X54" s="148"/>
      <c r="Y54" s="148"/>
      <c r="Z54" s="148"/>
      <c r="AA54" s="148"/>
      <c r="AB54" s="149"/>
      <c r="AC54" s="150"/>
      <c r="AD54" s="76"/>
      <c r="AE54" s="76"/>
      <c r="AF54" s="128"/>
    </row>
    <row r="55" spans="1:32" outlineLevel="1" x14ac:dyDescent="0.25">
      <c r="A55" s="4" t="s">
        <v>719</v>
      </c>
      <c r="B55" s="75" t="s">
        <v>47</v>
      </c>
      <c r="C55" s="25"/>
      <c r="D55" s="92"/>
      <c r="E55" s="110"/>
      <c r="F55" s="93">
        <f>D55*E55</f>
        <v>0</v>
      </c>
      <c r="G55" s="74">
        <f>H55-F55</f>
        <v>0</v>
      </c>
      <c r="H55" s="95">
        <f t="shared" si="22"/>
        <v>0</v>
      </c>
      <c r="I55" s="112"/>
      <c r="J55" s="57"/>
      <c r="K55" s="57"/>
      <c r="L55" s="57"/>
      <c r="M55" s="57"/>
      <c r="N55" s="57"/>
      <c r="O55" s="57"/>
      <c r="P55" s="68"/>
      <c r="Q55" s="58"/>
      <c r="R55" s="170">
        <f>P55*Q55</f>
        <v>0</v>
      </c>
      <c r="S55" s="89">
        <f t="shared" si="4"/>
        <v>0</v>
      </c>
      <c r="T55" s="216">
        <f t="shared" si="5"/>
        <v>0</v>
      </c>
      <c r="U55" s="147"/>
      <c r="V55" s="148"/>
      <c r="W55" s="148"/>
      <c r="X55" s="148"/>
      <c r="Y55" s="148"/>
      <c r="Z55" s="148"/>
      <c r="AA55" s="148"/>
      <c r="AB55" s="149"/>
      <c r="AC55" s="150"/>
      <c r="AD55" s="76"/>
      <c r="AE55" s="76"/>
      <c r="AF55" s="128"/>
    </row>
    <row r="56" spans="1:32" s="3" customFormat="1" ht="15.75" x14ac:dyDescent="0.25">
      <c r="A56" s="7" t="s">
        <v>720</v>
      </c>
      <c r="B56" s="13" t="s">
        <v>735</v>
      </c>
      <c r="C56" s="23"/>
      <c r="D56" s="24"/>
      <c r="E56" s="17"/>
      <c r="F56" s="82">
        <f>SUM(F57:F60)</f>
        <v>3750</v>
      </c>
      <c r="G56" s="89">
        <f>SUM(G57:G60)</f>
        <v>0</v>
      </c>
      <c r="H56" s="18">
        <f t="shared" si="22"/>
        <v>3950</v>
      </c>
      <c r="I56" s="54">
        <f t="shared" ref="I56:Q56" si="32">SUM(I57:I60)</f>
        <v>3950</v>
      </c>
      <c r="J56" s="55">
        <f t="shared" si="32"/>
        <v>0</v>
      </c>
      <c r="K56" s="55">
        <f t="shared" si="32"/>
        <v>0</v>
      </c>
      <c r="L56" s="55">
        <f t="shared" si="32"/>
        <v>0</v>
      </c>
      <c r="M56" s="55">
        <f t="shared" si="32"/>
        <v>0</v>
      </c>
      <c r="N56" s="55">
        <f t="shared" si="32"/>
        <v>0</v>
      </c>
      <c r="O56" s="55">
        <f t="shared" si="32"/>
        <v>0</v>
      </c>
      <c r="P56" s="55">
        <f t="shared" si="32"/>
        <v>0</v>
      </c>
      <c r="Q56" s="56">
        <f t="shared" si="32"/>
        <v>0</v>
      </c>
      <c r="R56" s="169">
        <f>SUM(R57:R60)</f>
        <v>3165.44</v>
      </c>
      <c r="S56" s="89">
        <f t="shared" si="4"/>
        <v>-3165.44</v>
      </c>
      <c r="T56" s="216">
        <f t="shared" si="5"/>
        <v>0</v>
      </c>
      <c r="U56" s="144">
        <f>SUM(U57:U60)</f>
        <v>0</v>
      </c>
      <c r="V56" s="145">
        <f t="shared" ref="V56:AC56" si="33">SUM(V57:V60)</f>
        <v>0</v>
      </c>
      <c r="W56" s="145">
        <f t="shared" si="33"/>
        <v>0</v>
      </c>
      <c r="X56" s="145">
        <f t="shared" si="33"/>
        <v>0</v>
      </c>
      <c r="Y56" s="145">
        <f t="shared" si="33"/>
        <v>0</v>
      </c>
      <c r="Z56" s="145">
        <f t="shared" si="33"/>
        <v>0</v>
      </c>
      <c r="AA56" s="145">
        <f t="shared" si="33"/>
        <v>0</v>
      </c>
      <c r="AB56" s="145">
        <f t="shared" si="33"/>
        <v>0</v>
      </c>
      <c r="AC56" s="146">
        <f t="shared" si="33"/>
        <v>0</v>
      </c>
      <c r="AD56" s="33">
        <v>3950</v>
      </c>
      <c r="AE56" s="33">
        <v>3888.85</v>
      </c>
      <c r="AF56" s="127">
        <f>AE56*100/AD56</f>
        <v>98.45189873417722</v>
      </c>
    </row>
    <row r="57" spans="1:32" outlineLevel="1" x14ac:dyDescent="0.25">
      <c r="A57" s="5" t="s">
        <v>722</v>
      </c>
      <c r="B57" s="75" t="s">
        <v>736</v>
      </c>
      <c r="C57" s="25"/>
      <c r="D57" s="92">
        <v>1</v>
      </c>
      <c r="E57" s="110">
        <v>950</v>
      </c>
      <c r="F57" s="93">
        <f>D57*E57</f>
        <v>950</v>
      </c>
      <c r="G57" s="74">
        <f>H57-F57</f>
        <v>0</v>
      </c>
      <c r="H57" s="95">
        <f t="shared" si="22"/>
        <v>950</v>
      </c>
      <c r="I57" s="112">
        <v>950</v>
      </c>
      <c r="J57" s="57"/>
      <c r="K57" s="57"/>
      <c r="L57" s="57"/>
      <c r="M57" s="57"/>
      <c r="N57" s="57"/>
      <c r="O57" s="57"/>
      <c r="P57" s="68"/>
      <c r="Q57" s="58"/>
      <c r="R57" s="170">
        <v>277.73</v>
      </c>
      <c r="S57" s="89">
        <f t="shared" si="4"/>
        <v>-277.73</v>
      </c>
      <c r="T57" s="216">
        <f t="shared" si="5"/>
        <v>0</v>
      </c>
      <c r="U57" s="147"/>
      <c r="V57" s="148"/>
      <c r="W57" s="148"/>
      <c r="X57" s="148"/>
      <c r="Y57" s="148"/>
      <c r="Z57" s="148"/>
      <c r="AA57" s="148"/>
      <c r="AB57" s="149"/>
      <c r="AC57" s="150"/>
      <c r="AD57" s="76"/>
      <c r="AE57" s="76"/>
      <c r="AF57" s="128"/>
    </row>
    <row r="58" spans="1:32" outlineLevel="1" x14ac:dyDescent="0.25">
      <c r="A58" s="4" t="s">
        <v>723</v>
      </c>
      <c r="B58" s="75" t="s">
        <v>737</v>
      </c>
      <c r="C58" s="25"/>
      <c r="D58" s="92">
        <v>1</v>
      </c>
      <c r="E58" s="110">
        <v>2500</v>
      </c>
      <c r="F58" s="93">
        <f>D58*E58</f>
        <v>2500</v>
      </c>
      <c r="G58" s="74">
        <f>H58-F58</f>
        <v>0</v>
      </c>
      <c r="H58" s="95">
        <v>2500</v>
      </c>
      <c r="I58" s="112">
        <v>2700</v>
      </c>
      <c r="J58" s="57"/>
      <c r="K58" s="57"/>
      <c r="L58" s="57"/>
      <c r="M58" s="57"/>
      <c r="N58" s="57"/>
      <c r="O58" s="57"/>
      <c r="P58" s="68"/>
      <c r="Q58" s="58"/>
      <c r="R58" s="170">
        <v>2397.27</v>
      </c>
      <c r="S58" s="89">
        <f t="shared" si="4"/>
        <v>-2397.27</v>
      </c>
      <c r="T58" s="216">
        <f t="shared" si="5"/>
        <v>0</v>
      </c>
      <c r="U58" s="147"/>
      <c r="V58" s="148"/>
      <c r="W58" s="148"/>
      <c r="X58" s="148"/>
      <c r="Y58" s="148"/>
      <c r="Z58" s="148"/>
      <c r="AA58" s="148"/>
      <c r="AB58" s="149"/>
      <c r="AC58" s="150"/>
      <c r="AD58" s="76"/>
      <c r="AE58" s="76"/>
      <c r="AF58" s="128"/>
    </row>
    <row r="59" spans="1:32" outlineLevel="1" x14ac:dyDescent="0.25">
      <c r="A59" s="4" t="s">
        <v>724</v>
      </c>
      <c r="B59" s="75" t="s">
        <v>738</v>
      </c>
      <c r="C59" s="25"/>
      <c r="D59" s="92">
        <v>1</v>
      </c>
      <c r="E59" s="110">
        <v>300</v>
      </c>
      <c r="F59" s="93">
        <f>D59*E59</f>
        <v>300</v>
      </c>
      <c r="G59" s="74">
        <f>H59-F59</f>
        <v>0</v>
      </c>
      <c r="H59" s="95">
        <f t="shared" ref="H59:H124" si="34">SUM(I59:Q59)</f>
        <v>300</v>
      </c>
      <c r="I59" s="112">
        <v>300</v>
      </c>
      <c r="J59" s="57"/>
      <c r="K59" s="57"/>
      <c r="L59" s="57"/>
      <c r="M59" s="57"/>
      <c r="N59" s="57"/>
      <c r="O59" s="57"/>
      <c r="P59" s="68"/>
      <c r="Q59" s="58"/>
      <c r="R59" s="170">
        <v>456.07</v>
      </c>
      <c r="S59" s="89">
        <f t="shared" si="4"/>
        <v>-456.07</v>
      </c>
      <c r="T59" s="216">
        <f t="shared" si="5"/>
        <v>0</v>
      </c>
      <c r="U59" s="147"/>
      <c r="V59" s="148"/>
      <c r="W59" s="148"/>
      <c r="X59" s="148"/>
      <c r="Y59" s="148"/>
      <c r="Z59" s="148"/>
      <c r="AA59" s="148"/>
      <c r="AB59" s="149"/>
      <c r="AC59" s="150"/>
      <c r="AD59" s="76"/>
      <c r="AE59" s="76"/>
      <c r="AF59" s="128"/>
    </row>
    <row r="60" spans="1:32" outlineLevel="1" x14ac:dyDescent="0.25">
      <c r="A60" s="4" t="s">
        <v>971</v>
      </c>
      <c r="B60" s="75" t="s">
        <v>47</v>
      </c>
      <c r="C60" s="25"/>
      <c r="D60" s="92"/>
      <c r="E60" s="110"/>
      <c r="F60" s="93">
        <f>D60*E60</f>
        <v>0</v>
      </c>
      <c r="G60" s="74">
        <f>H60-F60</f>
        <v>0</v>
      </c>
      <c r="H60" s="95">
        <f t="shared" si="34"/>
        <v>0</v>
      </c>
      <c r="I60" s="112"/>
      <c r="J60" s="57"/>
      <c r="K60" s="57"/>
      <c r="L60" s="57"/>
      <c r="M60" s="57"/>
      <c r="N60" s="57"/>
      <c r="O60" s="57"/>
      <c r="P60" s="68"/>
      <c r="Q60" s="58"/>
      <c r="R60" s="170">
        <v>34.369999999999997</v>
      </c>
      <c r="S60" s="89">
        <f t="shared" si="4"/>
        <v>-34.369999999999997</v>
      </c>
      <c r="T60" s="216">
        <f t="shared" si="5"/>
        <v>0</v>
      </c>
      <c r="U60" s="147"/>
      <c r="V60" s="148"/>
      <c r="W60" s="148"/>
      <c r="X60" s="148"/>
      <c r="Y60" s="148"/>
      <c r="Z60" s="148"/>
      <c r="AA60" s="148"/>
      <c r="AB60" s="149"/>
      <c r="AC60" s="150"/>
      <c r="AD60" s="76"/>
      <c r="AE60" s="76"/>
      <c r="AF60" s="128"/>
    </row>
    <row r="61" spans="1:32" s="3" customFormat="1" ht="15.75" x14ac:dyDescent="0.25">
      <c r="A61" s="7" t="s">
        <v>721</v>
      </c>
      <c r="B61" s="13" t="s">
        <v>155</v>
      </c>
      <c r="C61" s="23"/>
      <c r="D61" s="24"/>
      <c r="E61" s="17"/>
      <c r="F61" s="82">
        <f>SUM(F62:F64)</f>
        <v>28000</v>
      </c>
      <c r="G61" s="89">
        <f>SUM(G62:G64)</f>
        <v>0</v>
      </c>
      <c r="H61" s="18">
        <f t="shared" si="34"/>
        <v>28000</v>
      </c>
      <c r="I61" s="54">
        <f t="shared" ref="I61:Q61" si="35">SUM(I62:I64)</f>
        <v>28000</v>
      </c>
      <c r="J61" s="55">
        <f t="shared" si="35"/>
        <v>0</v>
      </c>
      <c r="K61" s="55">
        <f t="shared" si="35"/>
        <v>0</v>
      </c>
      <c r="L61" s="55">
        <f t="shared" si="35"/>
        <v>0</v>
      </c>
      <c r="M61" s="55">
        <f t="shared" si="35"/>
        <v>0</v>
      </c>
      <c r="N61" s="55">
        <f t="shared" si="35"/>
        <v>0</v>
      </c>
      <c r="O61" s="55">
        <f t="shared" si="35"/>
        <v>0</v>
      </c>
      <c r="P61" s="55">
        <f t="shared" si="35"/>
        <v>0</v>
      </c>
      <c r="Q61" s="56">
        <f t="shared" si="35"/>
        <v>0</v>
      </c>
      <c r="R61" s="169">
        <f>SUM(R62:R64)</f>
        <v>0</v>
      </c>
      <c r="S61" s="89">
        <f t="shared" si="4"/>
        <v>0</v>
      </c>
      <c r="T61" s="216">
        <f t="shared" si="5"/>
        <v>0</v>
      </c>
      <c r="U61" s="144">
        <f>SUM(U62:U64)</f>
        <v>0</v>
      </c>
      <c r="V61" s="145">
        <f t="shared" ref="V61:AC61" si="36">SUM(V62:V64)</f>
        <v>0</v>
      </c>
      <c r="W61" s="145">
        <f t="shared" si="36"/>
        <v>0</v>
      </c>
      <c r="X61" s="145">
        <f t="shared" si="36"/>
        <v>0</v>
      </c>
      <c r="Y61" s="145">
        <f t="shared" si="36"/>
        <v>0</v>
      </c>
      <c r="Z61" s="145">
        <f t="shared" si="36"/>
        <v>0</v>
      </c>
      <c r="AA61" s="145">
        <f t="shared" si="36"/>
        <v>0</v>
      </c>
      <c r="AB61" s="145">
        <f t="shared" si="36"/>
        <v>0</v>
      </c>
      <c r="AC61" s="146">
        <f t="shared" si="36"/>
        <v>0</v>
      </c>
      <c r="AD61" s="132"/>
      <c r="AE61" s="133"/>
      <c r="AF61" s="134"/>
    </row>
    <row r="62" spans="1:32" outlineLevel="1" x14ac:dyDescent="0.25">
      <c r="A62" s="5" t="s">
        <v>725</v>
      </c>
      <c r="B62" s="75" t="s">
        <v>156</v>
      </c>
      <c r="C62" s="25"/>
      <c r="D62" s="92">
        <v>1</v>
      </c>
      <c r="E62" s="110">
        <f>E32</f>
        <v>26000</v>
      </c>
      <c r="F62" s="93">
        <f>D62*E62</f>
        <v>26000</v>
      </c>
      <c r="G62" s="74">
        <f>H62-F62</f>
        <v>0</v>
      </c>
      <c r="H62" s="95">
        <f t="shared" si="34"/>
        <v>26000</v>
      </c>
      <c r="I62" s="112">
        <f>F62</f>
        <v>26000</v>
      </c>
      <c r="J62" s="57"/>
      <c r="K62" s="57"/>
      <c r="L62" s="57"/>
      <c r="M62" s="57"/>
      <c r="N62" s="57"/>
      <c r="O62" s="57"/>
      <c r="P62" s="68"/>
      <c r="Q62" s="58"/>
      <c r="R62" s="170">
        <f>P62*Q62</f>
        <v>0</v>
      </c>
      <c r="S62" s="89">
        <f t="shared" si="4"/>
        <v>0</v>
      </c>
      <c r="T62" s="216">
        <f t="shared" si="5"/>
        <v>0</v>
      </c>
      <c r="U62" s="147">
        <f>Q62</f>
        <v>0</v>
      </c>
      <c r="V62" s="148"/>
      <c r="W62" s="148"/>
      <c r="X62" s="148"/>
      <c r="Y62" s="148"/>
      <c r="Z62" s="148"/>
      <c r="AA62" s="148"/>
      <c r="AB62" s="149"/>
      <c r="AC62" s="150"/>
      <c r="AD62" s="76"/>
      <c r="AE62" s="76"/>
      <c r="AF62" s="128"/>
    </row>
    <row r="63" spans="1:32" outlineLevel="1" x14ac:dyDescent="0.25">
      <c r="A63" s="4" t="s">
        <v>726</v>
      </c>
      <c r="B63" s="75" t="s">
        <v>157</v>
      </c>
      <c r="C63" s="25"/>
      <c r="D63" s="92">
        <v>1</v>
      </c>
      <c r="E63" s="110">
        <v>2000</v>
      </c>
      <c r="F63" s="93">
        <f>D63*E63</f>
        <v>2000</v>
      </c>
      <c r="G63" s="74">
        <f>H63-F63</f>
        <v>0</v>
      </c>
      <c r="H63" s="95">
        <f t="shared" si="34"/>
        <v>2000</v>
      </c>
      <c r="I63" s="112">
        <f>F63</f>
        <v>2000</v>
      </c>
      <c r="J63" s="57"/>
      <c r="K63" s="57"/>
      <c r="L63" s="57"/>
      <c r="M63" s="57"/>
      <c r="N63" s="57"/>
      <c r="O63" s="57"/>
      <c r="P63" s="68"/>
      <c r="Q63" s="58"/>
      <c r="R63" s="170">
        <f>P63*Q63</f>
        <v>0</v>
      </c>
      <c r="S63" s="89">
        <f t="shared" si="4"/>
        <v>0</v>
      </c>
      <c r="T63" s="216">
        <f t="shared" si="5"/>
        <v>0</v>
      </c>
      <c r="U63" s="147">
        <f>Q63</f>
        <v>0</v>
      </c>
      <c r="V63" s="148"/>
      <c r="W63" s="148"/>
      <c r="X63" s="148"/>
      <c r="Y63" s="148"/>
      <c r="Z63" s="148"/>
      <c r="AA63" s="148"/>
      <c r="AB63" s="149"/>
      <c r="AC63" s="150"/>
      <c r="AD63" s="76"/>
      <c r="AE63" s="76"/>
      <c r="AF63" s="128"/>
    </row>
    <row r="64" spans="1:32" outlineLevel="1" x14ac:dyDescent="0.25">
      <c r="A64" s="4" t="s">
        <v>727</v>
      </c>
      <c r="B64" s="75" t="s">
        <v>47</v>
      </c>
      <c r="C64" s="25"/>
      <c r="D64" s="92"/>
      <c r="E64" s="110"/>
      <c r="F64" s="93">
        <f>D64*E64</f>
        <v>0</v>
      </c>
      <c r="G64" s="74">
        <f>H64-F64</f>
        <v>0</v>
      </c>
      <c r="H64" s="95">
        <f t="shared" si="34"/>
        <v>0</v>
      </c>
      <c r="I64" s="112"/>
      <c r="J64" s="57"/>
      <c r="K64" s="57"/>
      <c r="L64" s="57"/>
      <c r="M64" s="57"/>
      <c r="N64" s="57"/>
      <c r="O64" s="57"/>
      <c r="P64" s="68"/>
      <c r="Q64" s="58"/>
      <c r="R64" s="170">
        <f>P64*Q64</f>
        <v>0</v>
      </c>
      <c r="S64" s="89">
        <f t="shared" si="4"/>
        <v>0</v>
      </c>
      <c r="T64" s="216">
        <f t="shared" si="5"/>
        <v>0</v>
      </c>
      <c r="U64" s="147"/>
      <c r="V64" s="148"/>
      <c r="W64" s="148"/>
      <c r="X64" s="148"/>
      <c r="Y64" s="148"/>
      <c r="Z64" s="148"/>
      <c r="AA64" s="148"/>
      <c r="AB64" s="149"/>
      <c r="AC64" s="150"/>
      <c r="AD64" s="76"/>
      <c r="AE64" s="76"/>
      <c r="AF64" s="128"/>
    </row>
    <row r="65" spans="1:32" s="3" customFormat="1" ht="15.75" x14ac:dyDescent="0.25">
      <c r="A65" s="7" t="s">
        <v>741</v>
      </c>
      <c r="B65" s="13" t="s">
        <v>713</v>
      </c>
      <c r="C65" s="23"/>
      <c r="D65" s="24"/>
      <c r="E65" s="17"/>
      <c r="F65" s="82">
        <f>SUM(F66:F70)</f>
        <v>13880</v>
      </c>
      <c r="G65" s="89">
        <f>SUM(G66:G70)</f>
        <v>0</v>
      </c>
      <c r="H65" s="18">
        <f t="shared" si="34"/>
        <v>13880</v>
      </c>
      <c r="I65" s="54">
        <f t="shared" ref="I65:Q65" si="37">SUM(I66:I70)</f>
        <v>0</v>
      </c>
      <c r="J65" s="55">
        <f t="shared" si="37"/>
        <v>5380</v>
      </c>
      <c r="K65" s="55">
        <f t="shared" si="37"/>
        <v>0</v>
      </c>
      <c r="L65" s="55">
        <f t="shared" si="37"/>
        <v>0</v>
      </c>
      <c r="M65" s="55">
        <f t="shared" si="37"/>
        <v>0</v>
      </c>
      <c r="N65" s="55">
        <f t="shared" si="37"/>
        <v>0</v>
      </c>
      <c r="O65" s="55">
        <f t="shared" si="37"/>
        <v>0</v>
      </c>
      <c r="P65" s="55">
        <f t="shared" si="37"/>
        <v>8500</v>
      </c>
      <c r="Q65" s="56">
        <f t="shared" si="37"/>
        <v>0</v>
      </c>
      <c r="R65" s="169">
        <f>SUM(R66:R70)</f>
        <v>4666.6099999999997</v>
      </c>
      <c r="S65" s="89">
        <f t="shared" si="4"/>
        <v>-4666.6099999999997</v>
      </c>
      <c r="T65" s="216">
        <f t="shared" si="5"/>
        <v>0</v>
      </c>
      <c r="U65" s="144">
        <f>SUM(U66:U70)</f>
        <v>0</v>
      </c>
      <c r="V65" s="145">
        <f t="shared" ref="V65:AC65" si="38">SUM(V66:V70)</f>
        <v>0</v>
      </c>
      <c r="W65" s="145">
        <f t="shared" si="38"/>
        <v>0</v>
      </c>
      <c r="X65" s="145">
        <f t="shared" si="38"/>
        <v>0</v>
      </c>
      <c r="Y65" s="145">
        <f t="shared" si="38"/>
        <v>0</v>
      </c>
      <c r="Z65" s="145">
        <f t="shared" si="38"/>
        <v>0</v>
      </c>
      <c r="AA65" s="145">
        <f t="shared" si="38"/>
        <v>0</v>
      </c>
      <c r="AB65" s="145">
        <f t="shared" si="38"/>
        <v>0</v>
      </c>
      <c r="AC65" s="146">
        <f t="shared" si="38"/>
        <v>0</v>
      </c>
      <c r="AD65" s="33">
        <v>14000</v>
      </c>
      <c r="AE65" s="33">
        <v>5101.84</v>
      </c>
      <c r="AF65" s="127">
        <f>AE65*100/AD65</f>
        <v>36.441714285714284</v>
      </c>
    </row>
    <row r="66" spans="1:32" outlineLevel="1" x14ac:dyDescent="0.25">
      <c r="A66" s="5" t="s">
        <v>742</v>
      </c>
      <c r="B66" s="75" t="s">
        <v>927</v>
      </c>
      <c r="C66" s="25"/>
      <c r="D66" s="92">
        <v>1</v>
      </c>
      <c r="E66" s="110">
        <v>3700</v>
      </c>
      <c r="F66" s="93">
        <f>D66*E66</f>
        <v>3700</v>
      </c>
      <c r="G66" s="74">
        <f>H66-F66</f>
        <v>0</v>
      </c>
      <c r="H66" s="95">
        <f t="shared" si="34"/>
        <v>3700</v>
      </c>
      <c r="I66" s="112"/>
      <c r="J66" s="57">
        <v>3700</v>
      </c>
      <c r="K66" s="57"/>
      <c r="L66" s="57"/>
      <c r="M66" s="57"/>
      <c r="N66" s="57"/>
      <c r="O66" s="57"/>
      <c r="P66" s="68"/>
      <c r="Q66" s="58"/>
      <c r="R66" s="170">
        <v>873.55</v>
      </c>
      <c r="S66" s="89">
        <f t="shared" si="4"/>
        <v>-873.55</v>
      </c>
      <c r="T66" s="216">
        <f t="shared" si="5"/>
        <v>0</v>
      </c>
      <c r="U66" s="147"/>
      <c r="V66" s="148"/>
      <c r="W66" s="148"/>
      <c r="X66" s="148"/>
      <c r="Y66" s="148"/>
      <c r="Z66" s="148"/>
      <c r="AA66" s="148"/>
      <c r="AB66" s="149"/>
      <c r="AC66" s="150"/>
      <c r="AD66" s="76"/>
      <c r="AE66" s="76"/>
      <c r="AF66" s="128"/>
    </row>
    <row r="67" spans="1:32" outlineLevel="1" x14ac:dyDescent="0.25">
      <c r="A67" s="4" t="s">
        <v>729</v>
      </c>
      <c r="B67" s="75" t="s">
        <v>928</v>
      </c>
      <c r="C67" s="25"/>
      <c r="D67" s="92">
        <v>1</v>
      </c>
      <c r="E67" s="110">
        <v>1500</v>
      </c>
      <c r="F67" s="93">
        <f>D67*E67</f>
        <v>1500</v>
      </c>
      <c r="G67" s="74">
        <f>H67-F67</f>
        <v>0</v>
      </c>
      <c r="H67" s="95">
        <f t="shared" si="34"/>
        <v>1500</v>
      </c>
      <c r="I67" s="112"/>
      <c r="J67" s="57">
        <v>1500</v>
      </c>
      <c r="K67" s="57"/>
      <c r="L67" s="57"/>
      <c r="M67" s="57"/>
      <c r="N67" s="57"/>
      <c r="O67" s="57"/>
      <c r="P67" s="68"/>
      <c r="Q67" s="58"/>
      <c r="R67" s="170">
        <v>729.72</v>
      </c>
      <c r="S67" s="89">
        <f t="shared" si="4"/>
        <v>-729.72</v>
      </c>
      <c r="T67" s="216">
        <f t="shared" si="5"/>
        <v>0</v>
      </c>
      <c r="U67" s="147"/>
      <c r="V67" s="148"/>
      <c r="W67" s="148"/>
      <c r="X67" s="148"/>
      <c r="Y67" s="148"/>
      <c r="Z67" s="148"/>
      <c r="AA67" s="148"/>
      <c r="AB67" s="149"/>
      <c r="AC67" s="150"/>
      <c r="AD67" s="76"/>
      <c r="AE67" s="76"/>
      <c r="AF67" s="128"/>
    </row>
    <row r="68" spans="1:32" outlineLevel="1" x14ac:dyDescent="0.25">
      <c r="A68" s="4" t="s">
        <v>743</v>
      </c>
      <c r="B68" s="75" t="s">
        <v>926</v>
      </c>
      <c r="C68" s="25"/>
      <c r="D68" s="92">
        <v>1</v>
      </c>
      <c r="E68" s="110">
        <v>180</v>
      </c>
      <c r="F68" s="93">
        <f>D68*E68</f>
        <v>180</v>
      </c>
      <c r="G68" s="74">
        <f>H68-F68</f>
        <v>0</v>
      </c>
      <c r="H68" s="95">
        <f t="shared" si="34"/>
        <v>180</v>
      </c>
      <c r="I68" s="112"/>
      <c r="J68" s="57">
        <v>180</v>
      </c>
      <c r="K68" s="57"/>
      <c r="L68" s="57"/>
      <c r="M68" s="57"/>
      <c r="N68" s="57"/>
      <c r="O68" s="57"/>
      <c r="P68" s="68"/>
      <c r="Q68" s="58"/>
      <c r="R68" s="170">
        <v>250.34</v>
      </c>
      <c r="S68" s="89">
        <f t="shared" si="4"/>
        <v>-250.34</v>
      </c>
      <c r="T68" s="216">
        <f t="shared" si="5"/>
        <v>0</v>
      </c>
      <c r="U68" s="147"/>
      <c r="V68" s="148"/>
      <c r="W68" s="148"/>
      <c r="X68" s="148"/>
      <c r="Y68" s="148"/>
      <c r="Z68" s="148"/>
      <c r="AA68" s="148"/>
      <c r="AB68" s="149"/>
      <c r="AC68" s="150"/>
      <c r="AD68" s="76"/>
      <c r="AE68" s="76"/>
      <c r="AF68" s="128"/>
    </row>
    <row r="69" spans="1:32" outlineLevel="1" x14ac:dyDescent="0.25">
      <c r="A69" s="4" t="s">
        <v>744</v>
      </c>
      <c r="B69" s="75" t="s">
        <v>951</v>
      </c>
      <c r="C69" s="25"/>
      <c r="D69" s="92">
        <v>1</v>
      </c>
      <c r="E69" s="110">
        <v>8500</v>
      </c>
      <c r="F69" s="93">
        <f>D69*E69</f>
        <v>8500</v>
      </c>
      <c r="G69" s="74">
        <f>H69-F69</f>
        <v>0</v>
      </c>
      <c r="H69" s="95">
        <f t="shared" si="34"/>
        <v>8500</v>
      </c>
      <c r="I69" s="112"/>
      <c r="J69" s="57"/>
      <c r="K69" s="57"/>
      <c r="L69" s="57"/>
      <c r="M69" s="57"/>
      <c r="N69" s="57"/>
      <c r="O69" s="57"/>
      <c r="P69" s="68">
        <v>8500</v>
      </c>
      <c r="Q69" s="58"/>
      <c r="R69" s="215">
        <v>2813</v>
      </c>
      <c r="S69" s="89">
        <f t="shared" ref="S69:S132" si="39">T69-R69</f>
        <v>-2813</v>
      </c>
      <c r="T69" s="216">
        <f t="shared" ref="T69:T132" si="40">+U69+V69+W69+X69+Y69+Z69+AA69+AB69+AC69</f>
        <v>0</v>
      </c>
      <c r="U69" s="147"/>
      <c r="V69" s="148"/>
      <c r="W69" s="148"/>
      <c r="X69" s="148"/>
      <c r="Y69" s="148"/>
      <c r="Z69" s="148"/>
      <c r="AA69" s="148"/>
      <c r="AB69" s="149"/>
      <c r="AC69" s="150"/>
      <c r="AD69" s="76"/>
      <c r="AE69" s="76"/>
      <c r="AF69" s="128"/>
    </row>
    <row r="70" spans="1:32" outlineLevel="1" x14ac:dyDescent="0.25">
      <c r="A70" s="4" t="s">
        <v>972</v>
      </c>
      <c r="B70" s="75" t="s">
        <v>47</v>
      </c>
      <c r="C70" s="25"/>
      <c r="D70" s="92"/>
      <c r="E70" s="110"/>
      <c r="F70" s="93">
        <f>D70*E70</f>
        <v>0</v>
      </c>
      <c r="G70" s="74">
        <f>H70-F70</f>
        <v>0</v>
      </c>
      <c r="H70" s="95">
        <f t="shared" si="34"/>
        <v>0</v>
      </c>
      <c r="I70" s="112"/>
      <c r="J70" s="57"/>
      <c r="K70" s="57"/>
      <c r="L70" s="57"/>
      <c r="M70" s="57"/>
      <c r="N70" s="57"/>
      <c r="O70" s="57"/>
      <c r="P70" s="68"/>
      <c r="Q70" s="58"/>
      <c r="R70" s="170">
        <f>P70*Q70</f>
        <v>0</v>
      </c>
      <c r="S70" s="89">
        <f t="shared" si="39"/>
        <v>0</v>
      </c>
      <c r="T70" s="216">
        <f t="shared" si="40"/>
        <v>0</v>
      </c>
      <c r="U70" s="147"/>
      <c r="V70" s="148"/>
      <c r="W70" s="148"/>
      <c r="X70" s="148"/>
      <c r="Y70" s="148"/>
      <c r="Z70" s="148"/>
      <c r="AA70" s="148"/>
      <c r="AB70" s="149"/>
      <c r="AC70" s="150"/>
      <c r="AD70" s="76"/>
      <c r="AE70" s="76"/>
      <c r="AF70" s="128"/>
    </row>
    <row r="71" spans="1:32" s="3" customFormat="1" ht="15.75" x14ac:dyDescent="0.25">
      <c r="A71" s="7" t="s">
        <v>745</v>
      </c>
      <c r="B71" s="13" t="s">
        <v>714</v>
      </c>
      <c r="C71" s="23"/>
      <c r="D71" s="24"/>
      <c r="E71" s="17"/>
      <c r="F71" s="82">
        <f>SUM(F72:F76)</f>
        <v>7640</v>
      </c>
      <c r="G71" s="89">
        <f t="shared" ref="G71:Q71" si="41">SUM(G72:G76)</f>
        <v>0</v>
      </c>
      <c r="H71" s="18">
        <f t="shared" si="34"/>
        <v>7640</v>
      </c>
      <c r="I71" s="54">
        <f t="shared" si="41"/>
        <v>0</v>
      </c>
      <c r="J71" s="55">
        <f t="shared" si="41"/>
        <v>0</v>
      </c>
      <c r="K71" s="55">
        <f t="shared" si="41"/>
        <v>0</v>
      </c>
      <c r="L71" s="55">
        <f t="shared" si="41"/>
        <v>0</v>
      </c>
      <c r="M71" s="55">
        <f t="shared" si="41"/>
        <v>0</v>
      </c>
      <c r="N71" s="55">
        <f t="shared" si="41"/>
        <v>0</v>
      </c>
      <c r="O71" s="55">
        <f t="shared" si="41"/>
        <v>0</v>
      </c>
      <c r="P71" s="55">
        <f t="shared" si="41"/>
        <v>7640</v>
      </c>
      <c r="Q71" s="56">
        <f t="shared" si="41"/>
        <v>0</v>
      </c>
      <c r="R71" s="169">
        <f>SUM(R72:R76)</f>
        <v>6643.1900000000005</v>
      </c>
      <c r="S71" s="89">
        <f t="shared" si="39"/>
        <v>-6643.1900000000005</v>
      </c>
      <c r="T71" s="216">
        <f t="shared" si="40"/>
        <v>0</v>
      </c>
      <c r="U71" s="144">
        <f>SUM(U72:U76)</f>
        <v>0</v>
      </c>
      <c r="V71" s="145">
        <f t="shared" ref="V71:AC71" si="42">SUM(V72:V76)</f>
        <v>0</v>
      </c>
      <c r="W71" s="145">
        <f t="shared" si="42"/>
        <v>0</v>
      </c>
      <c r="X71" s="145">
        <f t="shared" si="42"/>
        <v>0</v>
      </c>
      <c r="Y71" s="145">
        <f t="shared" si="42"/>
        <v>0</v>
      </c>
      <c r="Z71" s="145">
        <f t="shared" si="42"/>
        <v>0</v>
      </c>
      <c r="AA71" s="145">
        <f t="shared" si="42"/>
        <v>0</v>
      </c>
      <c r="AB71" s="145">
        <f t="shared" si="42"/>
        <v>0</v>
      </c>
      <c r="AC71" s="146">
        <f t="shared" si="42"/>
        <v>0</v>
      </c>
      <c r="AD71" s="33">
        <v>7640</v>
      </c>
      <c r="AE71" s="33">
        <v>3497.79</v>
      </c>
      <c r="AF71" s="127">
        <f>AE71*100/AD71</f>
        <v>45.782591623036652</v>
      </c>
    </row>
    <row r="72" spans="1:32" outlineLevel="1" x14ac:dyDescent="0.25">
      <c r="A72" s="5" t="s">
        <v>746</v>
      </c>
      <c r="B72" s="75" t="s">
        <v>924</v>
      </c>
      <c r="C72" s="25"/>
      <c r="D72" s="92">
        <v>1</v>
      </c>
      <c r="E72" s="110">
        <v>1000</v>
      </c>
      <c r="F72" s="93">
        <f>D72*E72</f>
        <v>1000</v>
      </c>
      <c r="G72" s="74">
        <f t="shared" si="7"/>
        <v>0</v>
      </c>
      <c r="H72" s="95">
        <f t="shared" si="34"/>
        <v>1000</v>
      </c>
      <c r="I72" s="112"/>
      <c r="J72" s="57"/>
      <c r="K72" s="57"/>
      <c r="L72" s="57"/>
      <c r="M72" s="57"/>
      <c r="N72" s="57"/>
      <c r="O72" s="57"/>
      <c r="P72" s="68">
        <v>1000</v>
      </c>
      <c r="Q72" s="58"/>
      <c r="R72" s="170">
        <v>145.80000000000001</v>
      </c>
      <c r="S72" s="89">
        <f t="shared" si="39"/>
        <v>-145.80000000000001</v>
      </c>
      <c r="T72" s="216">
        <f t="shared" si="40"/>
        <v>0</v>
      </c>
      <c r="U72" s="147"/>
      <c r="V72" s="148"/>
      <c r="W72" s="148"/>
      <c r="X72" s="148"/>
      <c r="Y72" s="148"/>
      <c r="Z72" s="148"/>
      <c r="AA72" s="148"/>
      <c r="AB72" s="149"/>
      <c r="AC72" s="150"/>
      <c r="AD72" s="76"/>
      <c r="AE72" s="76"/>
      <c r="AF72" s="128"/>
    </row>
    <row r="73" spans="1:32" outlineLevel="1" x14ac:dyDescent="0.25">
      <c r="A73" s="4" t="s">
        <v>747</v>
      </c>
      <c r="B73" s="75" t="s">
        <v>925</v>
      </c>
      <c r="C73" s="25"/>
      <c r="D73" s="92">
        <v>1</v>
      </c>
      <c r="E73" s="110">
        <v>400</v>
      </c>
      <c r="F73" s="93">
        <f>D73*E73</f>
        <v>400</v>
      </c>
      <c r="G73" s="74">
        <f t="shared" si="7"/>
        <v>0</v>
      </c>
      <c r="H73" s="95">
        <f t="shared" si="34"/>
        <v>400</v>
      </c>
      <c r="I73" s="112"/>
      <c r="J73" s="57"/>
      <c r="K73" s="57"/>
      <c r="L73" s="57"/>
      <c r="M73" s="57"/>
      <c r="N73" s="57"/>
      <c r="O73" s="57"/>
      <c r="P73" s="68">
        <v>400</v>
      </c>
      <c r="Q73" s="58"/>
      <c r="R73" s="170">
        <v>730.14</v>
      </c>
      <c r="S73" s="89">
        <f t="shared" si="39"/>
        <v>-730.14</v>
      </c>
      <c r="T73" s="216">
        <f t="shared" si="40"/>
        <v>0</v>
      </c>
      <c r="U73" s="147"/>
      <c r="V73" s="148"/>
      <c r="W73" s="148"/>
      <c r="X73" s="148"/>
      <c r="Y73" s="148"/>
      <c r="Z73" s="148"/>
      <c r="AA73" s="148"/>
      <c r="AB73" s="149"/>
      <c r="AC73" s="150"/>
      <c r="AD73" s="76"/>
      <c r="AE73" s="76"/>
      <c r="AF73" s="128"/>
    </row>
    <row r="74" spans="1:32" outlineLevel="1" x14ac:dyDescent="0.25">
      <c r="A74" s="4" t="s">
        <v>730</v>
      </c>
      <c r="B74" s="75" t="s">
        <v>926</v>
      </c>
      <c r="C74" s="25"/>
      <c r="D74" s="92">
        <v>1</v>
      </c>
      <c r="E74" s="110">
        <v>1540</v>
      </c>
      <c r="F74" s="93">
        <f>D74*E74</f>
        <v>1540</v>
      </c>
      <c r="G74" s="74">
        <f t="shared" si="7"/>
        <v>0</v>
      </c>
      <c r="H74" s="95">
        <f t="shared" si="34"/>
        <v>1540</v>
      </c>
      <c r="I74" s="112"/>
      <c r="J74" s="57"/>
      <c r="K74" s="57"/>
      <c r="L74" s="57"/>
      <c r="M74" s="57"/>
      <c r="N74" s="57"/>
      <c r="O74" s="57"/>
      <c r="P74" s="68">
        <v>1540</v>
      </c>
      <c r="Q74" s="58"/>
      <c r="R74" s="170">
        <v>1633.87</v>
      </c>
      <c r="S74" s="89">
        <f t="shared" si="39"/>
        <v>-1633.87</v>
      </c>
      <c r="T74" s="216">
        <f t="shared" si="40"/>
        <v>0</v>
      </c>
      <c r="U74" s="147"/>
      <c r="V74" s="148"/>
      <c r="W74" s="148"/>
      <c r="X74" s="148"/>
      <c r="Y74" s="148"/>
      <c r="Z74" s="148"/>
      <c r="AA74" s="148"/>
      <c r="AB74" s="149"/>
      <c r="AC74" s="150"/>
      <c r="AD74" s="76"/>
      <c r="AE74" s="76"/>
      <c r="AF74" s="128"/>
    </row>
    <row r="75" spans="1:32" outlineLevel="1" x14ac:dyDescent="0.25">
      <c r="A75" s="4" t="s">
        <v>748</v>
      </c>
      <c r="B75" s="75" t="s">
        <v>337</v>
      </c>
      <c r="C75" s="25"/>
      <c r="D75" s="92">
        <v>1</v>
      </c>
      <c r="E75" s="110">
        <v>4700</v>
      </c>
      <c r="F75" s="93">
        <f>D75*E75</f>
        <v>4700</v>
      </c>
      <c r="G75" s="74">
        <f t="shared" si="7"/>
        <v>0</v>
      </c>
      <c r="H75" s="95">
        <f t="shared" si="34"/>
        <v>4700</v>
      </c>
      <c r="I75" s="112"/>
      <c r="J75" s="57"/>
      <c r="K75" s="57"/>
      <c r="L75" s="57"/>
      <c r="M75" s="57"/>
      <c r="N75" s="57"/>
      <c r="O75" s="57"/>
      <c r="P75" s="68">
        <v>4700</v>
      </c>
      <c r="Q75" s="58"/>
      <c r="R75" s="213">
        <v>1564</v>
      </c>
      <c r="S75" s="89">
        <f t="shared" si="39"/>
        <v>-1564</v>
      </c>
      <c r="T75" s="216">
        <f t="shared" si="40"/>
        <v>0</v>
      </c>
      <c r="U75" s="147"/>
      <c r="V75" s="148"/>
      <c r="W75" s="148"/>
      <c r="X75" s="148"/>
      <c r="Y75" s="148"/>
      <c r="Z75" s="148"/>
      <c r="AA75" s="148"/>
      <c r="AB75" s="149"/>
      <c r="AC75" s="150"/>
      <c r="AD75" s="76"/>
      <c r="AE75" s="76"/>
      <c r="AF75" s="128"/>
    </row>
    <row r="76" spans="1:32" outlineLevel="1" x14ac:dyDescent="0.25">
      <c r="A76" s="4" t="s">
        <v>749</v>
      </c>
      <c r="B76" s="75" t="s">
        <v>47</v>
      </c>
      <c r="C76" s="25"/>
      <c r="D76" s="92"/>
      <c r="E76" s="110"/>
      <c r="F76" s="93">
        <f>D76*E76</f>
        <v>0</v>
      </c>
      <c r="G76" s="74">
        <f t="shared" ref="G76:G142" si="43">H76-F76</f>
        <v>0</v>
      </c>
      <c r="H76" s="95">
        <f t="shared" si="34"/>
        <v>0</v>
      </c>
      <c r="I76" s="112"/>
      <c r="J76" s="57"/>
      <c r="K76" s="57"/>
      <c r="L76" s="57"/>
      <c r="M76" s="57"/>
      <c r="N76" s="57"/>
      <c r="O76" s="57"/>
      <c r="P76" s="68"/>
      <c r="Q76" s="58"/>
      <c r="R76" s="170">
        <v>2569.38</v>
      </c>
      <c r="S76" s="89">
        <f t="shared" si="39"/>
        <v>-2569.38</v>
      </c>
      <c r="T76" s="216">
        <f t="shared" si="40"/>
        <v>0</v>
      </c>
      <c r="U76" s="147"/>
      <c r="V76" s="148"/>
      <c r="W76" s="148"/>
      <c r="X76" s="148"/>
      <c r="Y76" s="148"/>
      <c r="Z76" s="148"/>
      <c r="AA76" s="148"/>
      <c r="AB76" s="149"/>
      <c r="AC76" s="150"/>
      <c r="AD76" s="76"/>
      <c r="AE76" s="76"/>
      <c r="AF76" s="128"/>
    </row>
    <row r="77" spans="1:32" s="3" customFormat="1" ht="15.75" x14ac:dyDescent="0.25">
      <c r="A77" s="7" t="s">
        <v>963</v>
      </c>
      <c r="B77" s="13" t="s">
        <v>988</v>
      </c>
      <c r="C77" s="23"/>
      <c r="D77" s="24"/>
      <c r="E77" s="17"/>
      <c r="F77" s="82">
        <f>SUM(F78:F79)</f>
        <v>1900</v>
      </c>
      <c r="G77" s="89">
        <f t="shared" si="43"/>
        <v>0</v>
      </c>
      <c r="H77" s="18">
        <f t="shared" si="34"/>
        <v>1900</v>
      </c>
      <c r="I77" s="54">
        <f t="shared" ref="I77:Q77" si="44">SUM(I78:I79)</f>
        <v>1900</v>
      </c>
      <c r="J77" s="55">
        <f t="shared" si="44"/>
        <v>0</v>
      </c>
      <c r="K77" s="55">
        <f t="shared" si="44"/>
        <v>0</v>
      </c>
      <c r="L77" s="55">
        <f t="shared" si="44"/>
        <v>0</v>
      </c>
      <c r="M77" s="55">
        <f t="shared" si="44"/>
        <v>0</v>
      </c>
      <c r="N77" s="55">
        <f t="shared" si="44"/>
        <v>0</v>
      </c>
      <c r="O77" s="55">
        <f t="shared" si="44"/>
        <v>0</v>
      </c>
      <c r="P77" s="55">
        <f t="shared" si="44"/>
        <v>0</v>
      </c>
      <c r="Q77" s="56">
        <f t="shared" si="44"/>
        <v>0</v>
      </c>
      <c r="R77" s="169">
        <f>SUM(R78:R79)</f>
        <v>0</v>
      </c>
      <c r="S77" s="89">
        <f t="shared" si="39"/>
        <v>0</v>
      </c>
      <c r="T77" s="216">
        <f t="shared" si="40"/>
        <v>0</v>
      </c>
      <c r="U77" s="144">
        <f>SUM(U78:U79)</f>
        <v>0</v>
      </c>
      <c r="V77" s="145">
        <f t="shared" ref="V77:AC77" si="45">SUM(V78:V79)</f>
        <v>0</v>
      </c>
      <c r="W77" s="145">
        <f t="shared" si="45"/>
        <v>0</v>
      </c>
      <c r="X77" s="145">
        <f t="shared" si="45"/>
        <v>0</v>
      </c>
      <c r="Y77" s="145">
        <f t="shared" si="45"/>
        <v>0</v>
      </c>
      <c r="Z77" s="145">
        <f t="shared" si="45"/>
        <v>0</v>
      </c>
      <c r="AA77" s="145">
        <f t="shared" si="45"/>
        <v>0</v>
      </c>
      <c r="AB77" s="145">
        <f t="shared" si="45"/>
        <v>0</v>
      </c>
      <c r="AC77" s="146">
        <f t="shared" si="45"/>
        <v>0</v>
      </c>
      <c r="AD77" s="33"/>
      <c r="AE77" s="33">
        <f>SUM(AE78:AE79)</f>
        <v>0</v>
      </c>
      <c r="AF77" s="127" t="e">
        <f>AE77*100/AD77</f>
        <v>#DIV/0!</v>
      </c>
    </row>
    <row r="78" spans="1:32" outlineLevel="1" x14ac:dyDescent="0.25">
      <c r="A78" s="5" t="s">
        <v>896</v>
      </c>
      <c r="B78" s="75" t="s">
        <v>988</v>
      </c>
      <c r="C78" s="25"/>
      <c r="D78" s="92">
        <v>1</v>
      </c>
      <c r="E78" s="110">
        <v>1900</v>
      </c>
      <c r="F78" s="93">
        <f>D78*E78</f>
        <v>1900</v>
      </c>
      <c r="G78" s="74">
        <f t="shared" si="43"/>
        <v>0</v>
      </c>
      <c r="H78" s="95">
        <f t="shared" si="34"/>
        <v>1900</v>
      </c>
      <c r="I78" s="112">
        <v>1900</v>
      </c>
      <c r="J78" s="57"/>
      <c r="K78" s="57"/>
      <c r="L78" s="57"/>
      <c r="M78" s="57"/>
      <c r="N78" s="57"/>
      <c r="O78" s="57"/>
      <c r="P78" s="68"/>
      <c r="Q78" s="58"/>
      <c r="R78" s="170">
        <f>P78*Q78</f>
        <v>0</v>
      </c>
      <c r="S78" s="89">
        <f t="shared" si="39"/>
        <v>0</v>
      </c>
      <c r="T78" s="216">
        <f t="shared" si="40"/>
        <v>0</v>
      </c>
      <c r="U78" s="147"/>
      <c r="V78" s="148"/>
      <c r="W78" s="148"/>
      <c r="X78" s="148"/>
      <c r="Y78" s="148"/>
      <c r="Z78" s="148"/>
      <c r="AA78" s="148"/>
      <c r="AB78" s="149"/>
      <c r="AC78" s="150"/>
      <c r="AD78" s="76"/>
      <c r="AE78" s="76"/>
      <c r="AF78" s="128"/>
    </row>
    <row r="79" spans="1:32" outlineLevel="1" x14ac:dyDescent="0.25">
      <c r="A79" s="4" t="s">
        <v>897</v>
      </c>
      <c r="B79" s="75" t="s">
        <v>47</v>
      </c>
      <c r="C79" s="25"/>
      <c r="D79" s="92"/>
      <c r="E79" s="110"/>
      <c r="F79" s="93">
        <f>D79*E79</f>
        <v>0</v>
      </c>
      <c r="G79" s="74">
        <f t="shared" si="43"/>
        <v>0</v>
      </c>
      <c r="H79" s="95">
        <f t="shared" si="34"/>
        <v>0</v>
      </c>
      <c r="I79" s="112"/>
      <c r="J79" s="57"/>
      <c r="K79" s="57"/>
      <c r="L79" s="57"/>
      <c r="M79" s="57"/>
      <c r="N79" s="57"/>
      <c r="O79" s="57"/>
      <c r="P79" s="68"/>
      <c r="Q79" s="58"/>
      <c r="R79" s="170">
        <f>P79*Q79</f>
        <v>0</v>
      </c>
      <c r="S79" s="89">
        <f t="shared" si="39"/>
        <v>0</v>
      </c>
      <c r="T79" s="216">
        <f t="shared" si="40"/>
        <v>0</v>
      </c>
      <c r="U79" s="147"/>
      <c r="V79" s="148"/>
      <c r="W79" s="148"/>
      <c r="X79" s="148"/>
      <c r="Y79" s="148"/>
      <c r="Z79" s="148"/>
      <c r="AA79" s="148"/>
      <c r="AB79" s="149"/>
      <c r="AC79" s="150"/>
      <c r="AD79" s="76"/>
      <c r="AE79" s="76"/>
      <c r="AF79" s="128"/>
    </row>
    <row r="80" spans="1:32" s="3" customFormat="1" ht="15.75" x14ac:dyDescent="0.25">
      <c r="A80" s="7" t="s">
        <v>984</v>
      </c>
      <c r="B80" s="13" t="s">
        <v>1000</v>
      </c>
      <c r="C80" s="23"/>
      <c r="D80" s="24"/>
      <c r="E80" s="17"/>
      <c r="F80" s="82">
        <f>SUM(F81:F83)</f>
        <v>1300</v>
      </c>
      <c r="G80" s="89">
        <f>H80-F80</f>
        <v>0</v>
      </c>
      <c r="H80" s="18">
        <f t="shared" si="34"/>
        <v>1300</v>
      </c>
      <c r="I80" s="54">
        <f t="shared" ref="I80:Q80" si="46">SUM(I81:I83)</f>
        <v>500</v>
      </c>
      <c r="J80" s="55">
        <f t="shared" si="46"/>
        <v>0</v>
      </c>
      <c r="K80" s="55">
        <f t="shared" si="46"/>
        <v>0</v>
      </c>
      <c r="L80" s="55">
        <f t="shared" si="46"/>
        <v>0</v>
      </c>
      <c r="M80" s="55">
        <f t="shared" si="46"/>
        <v>0</v>
      </c>
      <c r="N80" s="55">
        <f t="shared" si="46"/>
        <v>0</v>
      </c>
      <c r="O80" s="55">
        <f t="shared" si="46"/>
        <v>0</v>
      </c>
      <c r="P80" s="55">
        <f t="shared" si="46"/>
        <v>0</v>
      </c>
      <c r="Q80" s="56">
        <f t="shared" si="46"/>
        <v>800</v>
      </c>
      <c r="R80" s="169">
        <f>SUM(R81:R85)</f>
        <v>2818.71</v>
      </c>
      <c r="S80" s="89">
        <f t="shared" si="39"/>
        <v>-2818.71</v>
      </c>
      <c r="T80" s="216">
        <f t="shared" si="40"/>
        <v>0</v>
      </c>
      <c r="U80" s="144">
        <f>SUM(U81:U85)</f>
        <v>0</v>
      </c>
      <c r="V80" s="144">
        <f t="shared" ref="V80:AC80" si="47">SUM(V81:V85)</f>
        <v>0</v>
      </c>
      <c r="W80" s="144">
        <f t="shared" si="47"/>
        <v>0</v>
      </c>
      <c r="X80" s="144">
        <f t="shared" si="47"/>
        <v>0</v>
      </c>
      <c r="Y80" s="144">
        <f t="shared" si="47"/>
        <v>0</v>
      </c>
      <c r="Z80" s="144">
        <f t="shared" si="47"/>
        <v>0</v>
      </c>
      <c r="AA80" s="144">
        <f t="shared" si="47"/>
        <v>0</v>
      </c>
      <c r="AB80" s="144">
        <f t="shared" si="47"/>
        <v>0</v>
      </c>
      <c r="AC80" s="144">
        <f t="shared" si="47"/>
        <v>0</v>
      </c>
      <c r="AD80" s="33"/>
      <c r="AE80" s="33">
        <f>SUM(AE81:AE83)</f>
        <v>0</v>
      </c>
      <c r="AF80" s="127" t="e">
        <f>AE80*100/AD80</f>
        <v>#DIV/0!</v>
      </c>
    </row>
    <row r="81" spans="1:32" outlineLevel="1" x14ac:dyDescent="0.25">
      <c r="A81" s="5" t="s">
        <v>985</v>
      </c>
      <c r="B81" s="75" t="s">
        <v>1002</v>
      </c>
      <c r="C81" s="25"/>
      <c r="D81" s="92">
        <v>1</v>
      </c>
      <c r="E81" s="110">
        <v>800</v>
      </c>
      <c r="F81" s="93">
        <f>D81*E81</f>
        <v>800</v>
      </c>
      <c r="G81" s="74">
        <f>H81-F81</f>
        <v>0</v>
      </c>
      <c r="H81" s="95">
        <f t="shared" si="34"/>
        <v>800</v>
      </c>
      <c r="I81" s="112"/>
      <c r="J81" s="57"/>
      <c r="K81" s="57"/>
      <c r="L81" s="57"/>
      <c r="M81" s="57"/>
      <c r="N81" s="57"/>
      <c r="O81" s="57"/>
      <c r="P81" s="68"/>
      <c r="Q81" s="58">
        <v>800</v>
      </c>
      <c r="R81" s="170">
        <f>P81*Q81</f>
        <v>0</v>
      </c>
      <c r="S81" s="89">
        <f t="shared" si="39"/>
        <v>0</v>
      </c>
      <c r="T81" s="216">
        <f t="shared" si="40"/>
        <v>0</v>
      </c>
      <c r="U81" s="147"/>
      <c r="V81" s="148"/>
      <c r="W81" s="148"/>
      <c r="X81" s="148"/>
      <c r="Y81" s="148"/>
      <c r="Z81" s="148"/>
      <c r="AA81" s="148"/>
      <c r="AB81" s="149"/>
      <c r="AC81" s="150"/>
      <c r="AD81" s="76"/>
      <c r="AE81" s="76"/>
      <c r="AF81" s="128"/>
    </row>
    <row r="82" spans="1:32" outlineLevel="1" x14ac:dyDescent="0.25">
      <c r="A82" s="4" t="s">
        <v>986</v>
      </c>
      <c r="B82" s="75" t="s">
        <v>1001</v>
      </c>
      <c r="C82" s="25"/>
      <c r="D82" s="92">
        <v>1</v>
      </c>
      <c r="E82" s="110">
        <v>500</v>
      </c>
      <c r="F82" s="93">
        <f>D82*E82</f>
        <v>500</v>
      </c>
      <c r="G82" s="74">
        <f>H82-F82</f>
        <v>0</v>
      </c>
      <c r="H82" s="95">
        <f t="shared" si="34"/>
        <v>500</v>
      </c>
      <c r="I82" s="112">
        <v>500</v>
      </c>
      <c r="J82" s="57"/>
      <c r="K82" s="57"/>
      <c r="L82" s="57"/>
      <c r="M82" s="57"/>
      <c r="N82" s="57"/>
      <c r="O82" s="57"/>
      <c r="P82" s="68"/>
      <c r="Q82" s="58"/>
      <c r="R82" s="170">
        <f>P82*Q82</f>
        <v>0</v>
      </c>
      <c r="S82" s="89">
        <f t="shared" si="39"/>
        <v>0</v>
      </c>
      <c r="T82" s="216">
        <f t="shared" si="40"/>
        <v>0</v>
      </c>
      <c r="U82" s="147"/>
      <c r="V82" s="148"/>
      <c r="W82" s="148"/>
      <c r="X82" s="148"/>
      <c r="Y82" s="148"/>
      <c r="Z82" s="148"/>
      <c r="AA82" s="148"/>
      <c r="AB82" s="149"/>
      <c r="AC82" s="150"/>
      <c r="AD82" s="76"/>
      <c r="AE82" s="76"/>
      <c r="AF82" s="128"/>
    </row>
    <row r="83" spans="1:32" outlineLevel="1" x14ac:dyDescent="0.25">
      <c r="A83" s="4" t="s">
        <v>987</v>
      </c>
      <c r="B83" s="75" t="s">
        <v>47</v>
      </c>
      <c r="C83" s="25"/>
      <c r="D83" s="92"/>
      <c r="E83" s="110"/>
      <c r="F83" s="93">
        <f>D83*E83</f>
        <v>0</v>
      </c>
      <c r="G83" s="74">
        <f>H83-F83</f>
        <v>0</v>
      </c>
      <c r="H83" s="95">
        <f t="shared" si="34"/>
        <v>0</v>
      </c>
      <c r="I83" s="112"/>
      <c r="J83" s="57"/>
      <c r="K83" s="57"/>
      <c r="L83" s="57"/>
      <c r="M83" s="57"/>
      <c r="N83" s="57"/>
      <c r="O83" s="57"/>
      <c r="P83" s="68"/>
      <c r="Q83" s="58"/>
      <c r="R83" s="170">
        <f>P83*Q83</f>
        <v>0</v>
      </c>
      <c r="S83" s="89">
        <f t="shared" si="39"/>
        <v>0</v>
      </c>
      <c r="T83" s="216">
        <f t="shared" si="40"/>
        <v>0</v>
      </c>
      <c r="U83" s="147"/>
      <c r="V83" s="148"/>
      <c r="W83" s="148"/>
      <c r="X83" s="148"/>
      <c r="Y83" s="148"/>
      <c r="Z83" s="148"/>
      <c r="AA83" s="148"/>
      <c r="AB83" s="149"/>
      <c r="AC83" s="150"/>
      <c r="AD83" s="76"/>
      <c r="AE83" s="76"/>
      <c r="AF83" s="128"/>
    </row>
    <row r="84" spans="1:32" s="192" customFormat="1" outlineLevel="1" x14ac:dyDescent="0.25">
      <c r="A84" s="210" t="s">
        <v>1013</v>
      </c>
      <c r="B84" s="179"/>
      <c r="C84" s="180"/>
      <c r="D84" s="181"/>
      <c r="E84" s="182"/>
      <c r="F84" s="183"/>
      <c r="G84" s="184"/>
      <c r="H84" s="185"/>
      <c r="I84" s="186"/>
      <c r="J84" s="186"/>
      <c r="K84" s="186"/>
      <c r="L84" s="186"/>
      <c r="M84" s="186"/>
      <c r="N84" s="186"/>
      <c r="O84" s="186"/>
      <c r="P84" s="211"/>
      <c r="Q84" s="212"/>
      <c r="R84" s="183"/>
      <c r="S84" s="89">
        <f t="shared" si="39"/>
        <v>0</v>
      </c>
      <c r="T84" s="216">
        <f t="shared" si="40"/>
        <v>0</v>
      </c>
      <c r="U84" s="186"/>
      <c r="V84" s="186"/>
      <c r="W84" s="186"/>
      <c r="X84" s="186"/>
      <c r="Y84" s="186"/>
      <c r="Z84" s="186"/>
      <c r="AA84" s="186"/>
      <c r="AB84" s="211"/>
      <c r="AC84" s="212"/>
      <c r="AD84" s="190"/>
      <c r="AE84" s="190"/>
      <c r="AF84" s="191"/>
    </row>
    <row r="85" spans="1:32" s="192" customFormat="1" outlineLevel="1" x14ac:dyDescent="0.25">
      <c r="A85" s="178" t="s">
        <v>1014</v>
      </c>
      <c r="B85" s="179" t="s">
        <v>1015</v>
      </c>
      <c r="C85" s="180"/>
      <c r="D85" s="181"/>
      <c r="E85" s="182"/>
      <c r="F85" s="183"/>
      <c r="G85" s="184"/>
      <c r="H85" s="185"/>
      <c r="I85" s="186"/>
      <c r="J85" s="186"/>
      <c r="K85" s="186"/>
      <c r="L85" s="186"/>
      <c r="M85" s="186"/>
      <c r="N85" s="186"/>
      <c r="O85" s="186"/>
      <c r="P85" s="211"/>
      <c r="Q85" s="212"/>
      <c r="R85" s="183">
        <v>2818.71</v>
      </c>
      <c r="S85" s="89">
        <f t="shared" si="39"/>
        <v>-2818.71</v>
      </c>
      <c r="T85" s="216">
        <f t="shared" si="40"/>
        <v>0</v>
      </c>
      <c r="U85" s="186"/>
      <c r="V85" s="186"/>
      <c r="W85" s="186"/>
      <c r="X85" s="186"/>
      <c r="Y85" s="186"/>
      <c r="Z85" s="186"/>
      <c r="AA85" s="186"/>
      <c r="AB85" s="211"/>
      <c r="AC85" s="212"/>
      <c r="AD85" s="190"/>
      <c r="AE85" s="190"/>
      <c r="AF85" s="191"/>
    </row>
    <row r="86" spans="1:32" s="2" customFormat="1" ht="21" x14ac:dyDescent="0.35">
      <c r="A86" s="8" t="s">
        <v>116</v>
      </c>
      <c r="B86" s="12" t="s">
        <v>0</v>
      </c>
      <c r="C86" s="21"/>
      <c r="D86" s="22"/>
      <c r="E86" s="67"/>
      <c r="F86" s="84">
        <f t="shared" ref="F86:Q86" si="48">F87+F94+F101+F106+F110+F114+F118+F122+F126+F130+F141+F146</f>
        <v>28100</v>
      </c>
      <c r="G86" s="90">
        <f t="shared" si="43"/>
        <v>0</v>
      </c>
      <c r="H86" s="16">
        <f t="shared" si="34"/>
        <v>28100</v>
      </c>
      <c r="I86" s="51">
        <f t="shared" si="48"/>
        <v>16900</v>
      </c>
      <c r="J86" s="51">
        <f t="shared" si="48"/>
        <v>0</v>
      </c>
      <c r="K86" s="51">
        <f t="shared" si="48"/>
        <v>500</v>
      </c>
      <c r="L86" s="51">
        <f>L87+L94+L101+L106+L110+L114+L118+L122+L126+L130+L141+L146</f>
        <v>9000</v>
      </c>
      <c r="M86" s="51">
        <f>M87+M94+M101+M106+M110+M114+M118+M122+M126+M130+M141+M146</f>
        <v>500</v>
      </c>
      <c r="N86" s="51">
        <f t="shared" si="48"/>
        <v>0</v>
      </c>
      <c r="O86" s="51">
        <f t="shared" si="48"/>
        <v>0</v>
      </c>
      <c r="P86" s="51">
        <f t="shared" si="48"/>
        <v>0</v>
      </c>
      <c r="Q86" s="59">
        <f t="shared" si="48"/>
        <v>1200</v>
      </c>
      <c r="R86" s="168">
        <f>R87+R94+R101+R106+R110+R114+R118+R122+R126+R130+R141+R146</f>
        <v>5691.91</v>
      </c>
      <c r="S86" s="89">
        <f t="shared" si="39"/>
        <v>-5691.91</v>
      </c>
      <c r="T86" s="216">
        <f t="shared" si="40"/>
        <v>0</v>
      </c>
      <c r="U86" s="144">
        <f t="shared" ref="U86:AE86" si="49">U87+U94+U101+U106+U110+U114+U118+U122+U126+U130+U141+U146</f>
        <v>0</v>
      </c>
      <c r="V86" s="144">
        <f t="shared" si="49"/>
        <v>0</v>
      </c>
      <c r="W86" s="144">
        <f t="shared" si="49"/>
        <v>0</v>
      </c>
      <c r="X86" s="144">
        <f t="shared" si="49"/>
        <v>0</v>
      </c>
      <c r="Y86" s="144">
        <f t="shared" si="49"/>
        <v>0</v>
      </c>
      <c r="Z86" s="144">
        <f t="shared" si="49"/>
        <v>0</v>
      </c>
      <c r="AA86" s="144">
        <f t="shared" si="49"/>
        <v>0</v>
      </c>
      <c r="AB86" s="144">
        <f t="shared" si="49"/>
        <v>0</v>
      </c>
      <c r="AC86" s="151">
        <f t="shared" si="49"/>
        <v>0</v>
      </c>
      <c r="AD86" s="32">
        <f t="shared" si="49"/>
        <v>20430</v>
      </c>
      <c r="AE86" s="32">
        <f t="shared" si="49"/>
        <v>19036.990000000002</v>
      </c>
      <c r="AF86" s="126">
        <f>AE86*100/AD86</f>
        <v>93.181546744982882</v>
      </c>
    </row>
    <row r="87" spans="1:32" s="3" customFormat="1" ht="15.75" x14ac:dyDescent="0.25">
      <c r="A87" s="7" t="s">
        <v>117</v>
      </c>
      <c r="B87" s="13" t="s">
        <v>696</v>
      </c>
      <c r="C87" s="23"/>
      <c r="D87" s="24"/>
      <c r="E87" s="17"/>
      <c r="F87" s="82">
        <f>SUM(F88:F93)</f>
        <v>9950</v>
      </c>
      <c r="G87" s="89">
        <f t="shared" si="43"/>
        <v>0</v>
      </c>
      <c r="H87" s="18">
        <f t="shared" si="34"/>
        <v>9950</v>
      </c>
      <c r="I87" s="54">
        <f>SUM(I88:I93)</f>
        <v>4300</v>
      </c>
      <c r="J87" s="55">
        <f t="shared" ref="J87:Q87" si="50">SUM(J88:J93)</f>
        <v>0</v>
      </c>
      <c r="K87" s="55">
        <f t="shared" si="50"/>
        <v>500</v>
      </c>
      <c r="L87" s="55">
        <f t="shared" si="50"/>
        <v>4650</v>
      </c>
      <c r="M87" s="55">
        <f>SUM(M88:M93)</f>
        <v>500</v>
      </c>
      <c r="N87" s="55">
        <f t="shared" si="50"/>
        <v>0</v>
      </c>
      <c r="O87" s="55">
        <f t="shared" si="50"/>
        <v>0</v>
      </c>
      <c r="P87" s="55">
        <f>SUM(P88:P93)</f>
        <v>0</v>
      </c>
      <c r="Q87" s="56">
        <f t="shared" si="50"/>
        <v>0</v>
      </c>
      <c r="R87" s="169">
        <f>SUM(R88:R93)</f>
        <v>752</v>
      </c>
      <c r="S87" s="89">
        <f t="shared" si="39"/>
        <v>-752</v>
      </c>
      <c r="T87" s="216">
        <f t="shared" si="40"/>
        <v>0</v>
      </c>
      <c r="U87" s="144">
        <f t="shared" ref="U87:AC87" si="51">SUM(U88:U93)</f>
        <v>0</v>
      </c>
      <c r="V87" s="145">
        <f t="shared" si="51"/>
        <v>0</v>
      </c>
      <c r="W87" s="145">
        <f t="shared" si="51"/>
        <v>0</v>
      </c>
      <c r="X87" s="145">
        <f t="shared" si="51"/>
        <v>0</v>
      </c>
      <c r="Y87" s="145">
        <f t="shared" si="51"/>
        <v>0</v>
      </c>
      <c r="Z87" s="145">
        <f t="shared" si="51"/>
        <v>0</v>
      </c>
      <c r="AA87" s="145">
        <f t="shared" si="51"/>
        <v>0</v>
      </c>
      <c r="AB87" s="145">
        <f t="shared" si="51"/>
        <v>0</v>
      </c>
      <c r="AC87" s="146">
        <f t="shared" si="51"/>
        <v>0</v>
      </c>
      <c r="AD87" s="33">
        <v>10000</v>
      </c>
      <c r="AE87" s="33">
        <f>6885.26+2499.76</f>
        <v>9385.02</v>
      </c>
      <c r="AF87" s="127">
        <f>AE87*100/AD87</f>
        <v>93.850200000000001</v>
      </c>
    </row>
    <row r="88" spans="1:32" outlineLevel="1" x14ac:dyDescent="0.25">
      <c r="A88" s="5" t="s">
        <v>118</v>
      </c>
      <c r="B88" s="75" t="s">
        <v>20</v>
      </c>
      <c r="C88" s="25"/>
      <c r="D88" s="92">
        <v>1</v>
      </c>
      <c r="E88" s="110">
        <v>6800</v>
      </c>
      <c r="F88" s="93">
        <f t="shared" ref="F88:F93" si="52">D88*E88</f>
        <v>6800</v>
      </c>
      <c r="G88" s="74">
        <f t="shared" si="43"/>
        <v>0</v>
      </c>
      <c r="H88" s="95">
        <f t="shared" si="34"/>
        <v>6800</v>
      </c>
      <c r="I88" s="112">
        <v>2400</v>
      </c>
      <c r="J88" s="57"/>
      <c r="K88" s="57"/>
      <c r="L88" s="57">
        <v>4400</v>
      </c>
      <c r="M88" s="57"/>
      <c r="N88" s="57"/>
      <c r="O88" s="57"/>
      <c r="P88" s="68"/>
      <c r="Q88" s="58"/>
      <c r="R88" s="170">
        <f t="shared" ref="R88:R93" si="53">P88*Q88</f>
        <v>0</v>
      </c>
      <c r="S88" s="89">
        <f t="shared" si="39"/>
        <v>0</v>
      </c>
      <c r="T88" s="216">
        <f t="shared" si="40"/>
        <v>0</v>
      </c>
      <c r="U88" s="147"/>
      <c r="V88" s="148"/>
      <c r="W88" s="148"/>
      <c r="X88" s="148"/>
      <c r="Y88" s="148"/>
      <c r="Z88" s="148"/>
      <c r="AA88" s="148"/>
      <c r="AB88" s="149"/>
      <c r="AC88" s="150"/>
      <c r="AD88" s="76"/>
      <c r="AE88" s="76"/>
      <c r="AF88" s="128"/>
    </row>
    <row r="89" spans="1:32" outlineLevel="1" x14ac:dyDescent="0.25">
      <c r="A89" s="4" t="s">
        <v>119</v>
      </c>
      <c r="B89" s="75" t="s">
        <v>692</v>
      </c>
      <c r="C89" s="25" t="s">
        <v>106</v>
      </c>
      <c r="D89" s="92">
        <v>1</v>
      </c>
      <c r="E89" s="110">
        <v>1300</v>
      </c>
      <c r="F89" s="93">
        <f t="shared" si="52"/>
        <v>1300</v>
      </c>
      <c r="G89" s="74">
        <f t="shared" si="43"/>
        <v>0</v>
      </c>
      <c r="H89" s="95">
        <f t="shared" si="34"/>
        <v>1300</v>
      </c>
      <c r="I89" s="112">
        <v>1300</v>
      </c>
      <c r="J89" s="57"/>
      <c r="K89" s="57"/>
      <c r="L89" s="57"/>
      <c r="M89" s="57"/>
      <c r="N89" s="57"/>
      <c r="O89" s="57"/>
      <c r="P89" s="68"/>
      <c r="Q89" s="58"/>
      <c r="R89" s="170">
        <v>752</v>
      </c>
      <c r="S89" s="89">
        <f t="shared" si="39"/>
        <v>-752</v>
      </c>
      <c r="T89" s="216">
        <f t="shared" si="40"/>
        <v>0</v>
      </c>
      <c r="U89" s="147"/>
      <c r="V89" s="148"/>
      <c r="W89" s="148"/>
      <c r="X89" s="148"/>
      <c r="Y89" s="148"/>
      <c r="Z89" s="148"/>
      <c r="AA89" s="148"/>
      <c r="AB89" s="149"/>
      <c r="AC89" s="150"/>
      <c r="AD89" s="76"/>
      <c r="AE89" s="76"/>
      <c r="AF89" s="128"/>
    </row>
    <row r="90" spans="1:32" outlineLevel="1" x14ac:dyDescent="0.25">
      <c r="A90" s="4" t="s">
        <v>120</v>
      </c>
      <c r="B90" s="75" t="s">
        <v>16</v>
      </c>
      <c r="C90" s="25" t="s">
        <v>9</v>
      </c>
      <c r="D90" s="92">
        <v>1</v>
      </c>
      <c r="E90" s="110">
        <v>500</v>
      </c>
      <c r="F90" s="93">
        <f t="shared" si="52"/>
        <v>500</v>
      </c>
      <c r="G90" s="74">
        <f t="shared" si="43"/>
        <v>0</v>
      </c>
      <c r="H90" s="95">
        <f t="shared" si="34"/>
        <v>500</v>
      </c>
      <c r="I90" s="112"/>
      <c r="J90" s="57"/>
      <c r="K90" s="57"/>
      <c r="L90" s="57"/>
      <c r="M90" s="57">
        <v>500</v>
      </c>
      <c r="N90" s="57"/>
      <c r="O90" s="57"/>
      <c r="P90" s="68"/>
      <c r="Q90" s="58"/>
      <c r="R90" s="170">
        <f t="shared" si="53"/>
        <v>0</v>
      </c>
      <c r="S90" s="89">
        <f t="shared" si="39"/>
        <v>0</v>
      </c>
      <c r="T90" s="216">
        <f t="shared" si="40"/>
        <v>0</v>
      </c>
      <c r="U90" s="147"/>
      <c r="V90" s="148"/>
      <c r="W90" s="148"/>
      <c r="X90" s="148"/>
      <c r="Y90" s="148"/>
      <c r="Z90" s="148"/>
      <c r="AA90" s="148"/>
      <c r="AB90" s="149"/>
      <c r="AC90" s="150"/>
      <c r="AD90" s="76"/>
      <c r="AE90" s="76"/>
      <c r="AF90" s="128"/>
    </row>
    <row r="91" spans="1:32" outlineLevel="1" x14ac:dyDescent="0.25">
      <c r="A91" s="4" t="s">
        <v>121</v>
      </c>
      <c r="B91" s="75" t="s">
        <v>17</v>
      </c>
      <c r="C91" s="25" t="s">
        <v>9</v>
      </c>
      <c r="D91" s="92">
        <v>1</v>
      </c>
      <c r="E91" s="110">
        <v>500</v>
      </c>
      <c r="F91" s="93">
        <f t="shared" si="52"/>
        <v>500</v>
      </c>
      <c r="G91" s="74">
        <f t="shared" si="43"/>
        <v>0</v>
      </c>
      <c r="H91" s="95">
        <f t="shared" si="34"/>
        <v>500</v>
      </c>
      <c r="I91" s="112">
        <v>500</v>
      </c>
      <c r="J91" s="57"/>
      <c r="K91" s="57"/>
      <c r="L91" s="57"/>
      <c r="M91" s="57"/>
      <c r="N91" s="57"/>
      <c r="O91" s="57"/>
      <c r="P91" s="68"/>
      <c r="Q91" s="58"/>
      <c r="R91" s="170">
        <f t="shared" si="53"/>
        <v>0</v>
      </c>
      <c r="S91" s="89">
        <f t="shared" si="39"/>
        <v>0</v>
      </c>
      <c r="T91" s="216">
        <f t="shared" si="40"/>
        <v>0</v>
      </c>
      <c r="U91" s="147"/>
      <c r="V91" s="148"/>
      <c r="W91" s="148"/>
      <c r="X91" s="148"/>
      <c r="Y91" s="148"/>
      <c r="Z91" s="148"/>
      <c r="AA91" s="148"/>
      <c r="AB91" s="149"/>
      <c r="AC91" s="150"/>
      <c r="AD91" s="76"/>
      <c r="AE91" s="76"/>
      <c r="AF91" s="128"/>
    </row>
    <row r="92" spans="1:32" outlineLevel="1" x14ac:dyDescent="0.25">
      <c r="A92" s="4" t="s">
        <v>122</v>
      </c>
      <c r="B92" s="75" t="s">
        <v>18</v>
      </c>
      <c r="C92" s="25" t="s">
        <v>694</v>
      </c>
      <c r="D92" s="92">
        <v>1</v>
      </c>
      <c r="E92" s="110">
        <v>750</v>
      </c>
      <c r="F92" s="93">
        <f t="shared" si="52"/>
        <v>750</v>
      </c>
      <c r="G92" s="74">
        <f t="shared" si="43"/>
        <v>0</v>
      </c>
      <c r="H92" s="95">
        <f t="shared" si="34"/>
        <v>750</v>
      </c>
      <c r="I92" s="112"/>
      <c r="J92" s="57"/>
      <c r="K92" s="57">
        <v>500</v>
      </c>
      <c r="L92" s="57">
        <v>250</v>
      </c>
      <c r="M92" s="57"/>
      <c r="N92" s="57"/>
      <c r="O92" s="57"/>
      <c r="P92" s="68"/>
      <c r="Q92" s="58"/>
      <c r="R92" s="170">
        <f t="shared" si="53"/>
        <v>0</v>
      </c>
      <c r="S92" s="89">
        <f t="shared" si="39"/>
        <v>0</v>
      </c>
      <c r="T92" s="216">
        <f t="shared" si="40"/>
        <v>0</v>
      </c>
      <c r="U92" s="147"/>
      <c r="V92" s="148"/>
      <c r="W92" s="148"/>
      <c r="X92" s="148"/>
      <c r="Y92" s="148"/>
      <c r="Z92" s="148"/>
      <c r="AA92" s="148"/>
      <c r="AB92" s="149"/>
      <c r="AC92" s="150"/>
      <c r="AD92" s="76"/>
      <c r="AE92" s="76"/>
      <c r="AF92" s="128"/>
    </row>
    <row r="93" spans="1:32" outlineLevel="1" x14ac:dyDescent="0.25">
      <c r="A93" s="4" t="s">
        <v>537</v>
      </c>
      <c r="B93" s="75" t="s">
        <v>19</v>
      </c>
      <c r="C93" s="25"/>
      <c r="D93" s="92">
        <v>1</v>
      </c>
      <c r="E93" s="110">
        <v>100</v>
      </c>
      <c r="F93" s="93">
        <f t="shared" si="52"/>
        <v>100</v>
      </c>
      <c r="G93" s="74">
        <f t="shared" si="43"/>
        <v>0</v>
      </c>
      <c r="H93" s="95">
        <f t="shared" si="34"/>
        <v>100</v>
      </c>
      <c r="I93" s="112">
        <v>100</v>
      </c>
      <c r="J93" s="57"/>
      <c r="K93" s="57"/>
      <c r="L93" s="57"/>
      <c r="M93" s="57"/>
      <c r="N93" s="57"/>
      <c r="O93" s="57"/>
      <c r="P93" s="68"/>
      <c r="Q93" s="58"/>
      <c r="R93" s="170">
        <f t="shared" si="53"/>
        <v>0</v>
      </c>
      <c r="S93" s="89">
        <f t="shared" si="39"/>
        <v>0</v>
      </c>
      <c r="T93" s="216">
        <f t="shared" si="40"/>
        <v>0</v>
      </c>
      <c r="U93" s="147"/>
      <c r="V93" s="148"/>
      <c r="W93" s="148"/>
      <c r="X93" s="148"/>
      <c r="Y93" s="148"/>
      <c r="Z93" s="148"/>
      <c r="AA93" s="148"/>
      <c r="AB93" s="149"/>
      <c r="AC93" s="150"/>
      <c r="AD93" s="76"/>
      <c r="AE93" s="76"/>
      <c r="AF93" s="128"/>
    </row>
    <row r="94" spans="1:32" s="3" customFormat="1" ht="15.75" x14ac:dyDescent="0.25">
      <c r="A94" s="7" t="s">
        <v>123</v>
      </c>
      <c r="B94" s="13" t="s">
        <v>697</v>
      </c>
      <c r="C94" s="23"/>
      <c r="D94" s="24"/>
      <c r="E94" s="17"/>
      <c r="F94" s="82">
        <f>SUM(F95:F100)</f>
        <v>4900</v>
      </c>
      <c r="G94" s="89">
        <f t="shared" si="43"/>
        <v>0</v>
      </c>
      <c r="H94" s="18">
        <f t="shared" si="34"/>
        <v>4900</v>
      </c>
      <c r="I94" s="54">
        <f>SUM(I95:I100)</f>
        <v>3050</v>
      </c>
      <c r="J94" s="55">
        <f t="shared" ref="J94:Q94" si="54">SUM(J95:J100)</f>
        <v>0</v>
      </c>
      <c r="K94" s="55">
        <f t="shared" si="54"/>
        <v>0</v>
      </c>
      <c r="L94" s="55">
        <f t="shared" si="54"/>
        <v>1350</v>
      </c>
      <c r="M94" s="55">
        <f t="shared" si="54"/>
        <v>0</v>
      </c>
      <c r="N94" s="55">
        <f t="shared" si="54"/>
        <v>0</v>
      </c>
      <c r="O94" s="55">
        <f t="shared" si="54"/>
        <v>0</v>
      </c>
      <c r="P94" s="55">
        <f t="shared" si="54"/>
        <v>0</v>
      </c>
      <c r="Q94" s="56">
        <f t="shared" si="54"/>
        <v>500</v>
      </c>
      <c r="R94" s="169">
        <f>SUM(R95:R100)</f>
        <v>1370</v>
      </c>
      <c r="S94" s="89">
        <f t="shared" si="39"/>
        <v>-1370</v>
      </c>
      <c r="T94" s="216">
        <f t="shared" si="40"/>
        <v>0</v>
      </c>
      <c r="U94" s="144">
        <f>SUM(U95:U100)</f>
        <v>0</v>
      </c>
      <c r="V94" s="145">
        <f t="shared" ref="V94:AC94" si="55">SUM(V95:V100)</f>
        <v>0</v>
      </c>
      <c r="W94" s="145">
        <f t="shared" si="55"/>
        <v>0</v>
      </c>
      <c r="X94" s="145">
        <f t="shared" si="55"/>
        <v>0</v>
      </c>
      <c r="Y94" s="145">
        <f t="shared" si="55"/>
        <v>0</v>
      </c>
      <c r="Z94" s="145">
        <f t="shared" si="55"/>
        <v>0</v>
      </c>
      <c r="AA94" s="145">
        <f t="shared" si="55"/>
        <v>0</v>
      </c>
      <c r="AB94" s="145">
        <f t="shared" si="55"/>
        <v>0</v>
      </c>
      <c r="AC94" s="146">
        <f t="shared" si="55"/>
        <v>0</v>
      </c>
      <c r="AD94" s="33">
        <v>5000</v>
      </c>
      <c r="AE94" s="33">
        <f>3360+843.97</f>
        <v>4203.97</v>
      </c>
      <c r="AF94" s="127">
        <f>AE94*100/AD94</f>
        <v>84.079400000000007</v>
      </c>
    </row>
    <row r="95" spans="1:32" outlineLevel="1" x14ac:dyDescent="0.25">
      <c r="A95" s="4" t="s">
        <v>124</v>
      </c>
      <c r="B95" s="75" t="s">
        <v>21</v>
      </c>
      <c r="C95" s="25"/>
      <c r="D95" s="92">
        <v>1</v>
      </c>
      <c r="E95" s="110">
        <v>3300</v>
      </c>
      <c r="F95" s="93">
        <f t="shared" ref="F95:F100" si="56">D95*E95</f>
        <v>3300</v>
      </c>
      <c r="G95" s="74">
        <f t="shared" si="43"/>
        <v>0</v>
      </c>
      <c r="H95" s="95">
        <f t="shared" si="34"/>
        <v>3300</v>
      </c>
      <c r="I95" s="112">
        <v>1950</v>
      </c>
      <c r="J95" s="57"/>
      <c r="K95" s="57"/>
      <c r="L95" s="57">
        <v>1350</v>
      </c>
      <c r="M95" s="57"/>
      <c r="N95" s="57"/>
      <c r="O95" s="57"/>
      <c r="P95" s="68"/>
      <c r="Q95" s="58"/>
      <c r="R95" s="170">
        <v>1370</v>
      </c>
      <c r="S95" s="89">
        <f t="shared" si="39"/>
        <v>-1370</v>
      </c>
      <c r="T95" s="216">
        <f t="shared" si="40"/>
        <v>0</v>
      </c>
      <c r="U95" s="147"/>
      <c r="V95" s="148"/>
      <c r="W95" s="148"/>
      <c r="X95" s="148"/>
      <c r="Y95" s="148"/>
      <c r="Z95" s="148"/>
      <c r="AA95" s="148"/>
      <c r="AB95" s="149"/>
      <c r="AC95" s="150"/>
      <c r="AD95" s="76"/>
      <c r="AE95" s="76"/>
      <c r="AF95" s="128"/>
    </row>
    <row r="96" spans="1:32" outlineLevel="1" x14ac:dyDescent="0.25">
      <c r="A96" s="4" t="s">
        <v>125</v>
      </c>
      <c r="B96" s="75" t="s">
        <v>22</v>
      </c>
      <c r="C96" s="25" t="s">
        <v>857</v>
      </c>
      <c r="D96" s="92">
        <v>0</v>
      </c>
      <c r="E96" s="110">
        <v>0</v>
      </c>
      <c r="F96" s="93">
        <f t="shared" si="56"/>
        <v>0</v>
      </c>
      <c r="G96" s="74">
        <f t="shared" si="43"/>
        <v>0</v>
      </c>
      <c r="H96" s="95">
        <f t="shared" si="34"/>
        <v>0</v>
      </c>
      <c r="I96" s="112"/>
      <c r="J96" s="57"/>
      <c r="K96" s="57"/>
      <c r="L96" s="57"/>
      <c r="M96" s="57"/>
      <c r="N96" s="57"/>
      <c r="O96" s="57"/>
      <c r="P96" s="68"/>
      <c r="Q96" s="58"/>
      <c r="R96" s="170">
        <f>P96*Q96</f>
        <v>0</v>
      </c>
      <c r="S96" s="89">
        <f t="shared" si="39"/>
        <v>0</v>
      </c>
      <c r="T96" s="216">
        <f t="shared" si="40"/>
        <v>0</v>
      </c>
      <c r="U96" s="147"/>
      <c r="V96" s="148"/>
      <c r="W96" s="148"/>
      <c r="X96" s="148"/>
      <c r="Y96" s="148"/>
      <c r="Z96" s="148"/>
      <c r="AA96" s="148"/>
      <c r="AB96" s="149"/>
      <c r="AC96" s="150"/>
      <c r="AD96" s="76"/>
      <c r="AE96" s="76"/>
      <c r="AF96" s="128"/>
    </row>
    <row r="97" spans="1:32" outlineLevel="1" x14ac:dyDescent="0.25">
      <c r="A97" s="4" t="s">
        <v>126</v>
      </c>
      <c r="B97" s="75" t="s">
        <v>23</v>
      </c>
      <c r="C97" s="25"/>
      <c r="D97" s="92">
        <v>1</v>
      </c>
      <c r="E97" s="110">
        <v>500</v>
      </c>
      <c r="F97" s="93">
        <f t="shared" si="56"/>
        <v>500</v>
      </c>
      <c r="G97" s="74">
        <f t="shared" si="43"/>
        <v>0</v>
      </c>
      <c r="H97" s="95">
        <f t="shared" si="34"/>
        <v>500</v>
      </c>
      <c r="I97" s="112">
        <v>0</v>
      </c>
      <c r="J97" s="57"/>
      <c r="K97" s="57"/>
      <c r="L97" s="57"/>
      <c r="M97" s="57"/>
      <c r="N97" s="57"/>
      <c r="O97" s="57"/>
      <c r="P97" s="68"/>
      <c r="Q97" s="58">
        <v>500</v>
      </c>
      <c r="R97" s="170">
        <f>P97*Q97</f>
        <v>0</v>
      </c>
      <c r="S97" s="89">
        <f t="shared" si="39"/>
        <v>0</v>
      </c>
      <c r="T97" s="216">
        <f t="shared" si="40"/>
        <v>0</v>
      </c>
      <c r="U97" s="147"/>
      <c r="V97" s="148"/>
      <c r="W97" s="148"/>
      <c r="X97" s="148"/>
      <c r="Y97" s="148"/>
      <c r="Z97" s="148"/>
      <c r="AA97" s="148"/>
      <c r="AB97" s="149"/>
      <c r="AC97" s="150"/>
      <c r="AD97" s="76"/>
      <c r="AE97" s="76"/>
      <c r="AF97" s="128"/>
    </row>
    <row r="98" spans="1:32" outlineLevel="1" x14ac:dyDescent="0.25">
      <c r="A98" s="4" t="s">
        <v>127</v>
      </c>
      <c r="B98" s="75" t="s">
        <v>24</v>
      </c>
      <c r="C98" s="25"/>
      <c r="D98" s="92">
        <v>1</v>
      </c>
      <c r="E98" s="110">
        <v>500</v>
      </c>
      <c r="F98" s="93">
        <f t="shared" si="56"/>
        <v>500</v>
      </c>
      <c r="G98" s="74">
        <f t="shared" si="43"/>
        <v>0</v>
      </c>
      <c r="H98" s="95">
        <f t="shared" si="34"/>
        <v>500</v>
      </c>
      <c r="I98" s="112">
        <v>500</v>
      </c>
      <c r="J98" s="57"/>
      <c r="K98" s="57"/>
      <c r="L98" s="57"/>
      <c r="M98" s="57"/>
      <c r="N98" s="57"/>
      <c r="O98" s="57"/>
      <c r="P98" s="68"/>
      <c r="Q98" s="58"/>
      <c r="R98" s="170">
        <f>P98*Q98</f>
        <v>0</v>
      </c>
      <c r="S98" s="89">
        <f t="shared" si="39"/>
        <v>0</v>
      </c>
      <c r="T98" s="216">
        <f t="shared" si="40"/>
        <v>0</v>
      </c>
      <c r="U98" s="147"/>
      <c r="V98" s="148"/>
      <c r="W98" s="148"/>
      <c r="X98" s="148"/>
      <c r="Y98" s="148"/>
      <c r="Z98" s="148"/>
      <c r="AA98" s="148"/>
      <c r="AB98" s="149"/>
      <c r="AC98" s="150"/>
      <c r="AD98" s="76"/>
      <c r="AE98" s="76"/>
      <c r="AF98" s="128"/>
    </row>
    <row r="99" spans="1:32" outlineLevel="1" x14ac:dyDescent="0.25">
      <c r="A99" s="4" t="s">
        <v>128</v>
      </c>
      <c r="B99" s="75" t="s">
        <v>25</v>
      </c>
      <c r="C99" s="25"/>
      <c r="D99" s="92">
        <v>1</v>
      </c>
      <c r="E99" s="110">
        <v>500</v>
      </c>
      <c r="F99" s="93">
        <f t="shared" si="56"/>
        <v>500</v>
      </c>
      <c r="G99" s="74">
        <f t="shared" si="43"/>
        <v>0</v>
      </c>
      <c r="H99" s="95">
        <f t="shared" si="34"/>
        <v>500</v>
      </c>
      <c r="I99" s="112">
        <v>500</v>
      </c>
      <c r="J99" s="57"/>
      <c r="K99" s="57"/>
      <c r="L99" s="57"/>
      <c r="M99" s="57"/>
      <c r="N99" s="57"/>
      <c r="O99" s="57"/>
      <c r="P99" s="68"/>
      <c r="Q99" s="58"/>
      <c r="R99" s="170">
        <f>P99*Q99</f>
        <v>0</v>
      </c>
      <c r="S99" s="89">
        <f t="shared" si="39"/>
        <v>0</v>
      </c>
      <c r="T99" s="216">
        <f t="shared" si="40"/>
        <v>0</v>
      </c>
      <c r="U99" s="147"/>
      <c r="V99" s="148"/>
      <c r="W99" s="148"/>
      <c r="X99" s="148"/>
      <c r="Y99" s="148"/>
      <c r="Z99" s="148"/>
      <c r="AA99" s="148"/>
      <c r="AB99" s="149"/>
      <c r="AC99" s="150"/>
      <c r="AD99" s="76"/>
      <c r="AE99" s="76"/>
      <c r="AF99" s="128"/>
    </row>
    <row r="100" spans="1:32" outlineLevel="1" x14ac:dyDescent="0.25">
      <c r="A100" s="4" t="s">
        <v>538</v>
      </c>
      <c r="B100" s="75" t="s">
        <v>15</v>
      </c>
      <c r="C100" s="25"/>
      <c r="D100" s="92">
        <v>1</v>
      </c>
      <c r="E100" s="110">
        <v>100</v>
      </c>
      <c r="F100" s="93">
        <f t="shared" si="56"/>
        <v>100</v>
      </c>
      <c r="G100" s="74">
        <f t="shared" si="43"/>
        <v>0</v>
      </c>
      <c r="H100" s="95">
        <f t="shared" si="34"/>
        <v>100</v>
      </c>
      <c r="I100" s="112">
        <v>100</v>
      </c>
      <c r="J100" s="57"/>
      <c r="K100" s="57"/>
      <c r="L100" s="57"/>
      <c r="M100" s="57"/>
      <c r="N100" s="57"/>
      <c r="O100" s="57"/>
      <c r="P100" s="68"/>
      <c r="Q100" s="58"/>
      <c r="R100" s="170">
        <f>P100*Q100</f>
        <v>0</v>
      </c>
      <c r="S100" s="89">
        <f t="shared" si="39"/>
        <v>0</v>
      </c>
      <c r="T100" s="216">
        <f t="shared" si="40"/>
        <v>0</v>
      </c>
      <c r="U100" s="147"/>
      <c r="V100" s="148"/>
      <c r="W100" s="148"/>
      <c r="X100" s="148"/>
      <c r="Y100" s="148"/>
      <c r="Z100" s="148"/>
      <c r="AA100" s="148"/>
      <c r="AB100" s="149"/>
      <c r="AC100" s="150"/>
      <c r="AD100" s="76"/>
      <c r="AE100" s="76"/>
      <c r="AF100" s="128"/>
    </row>
    <row r="101" spans="1:32" s="3" customFormat="1" ht="15.75" x14ac:dyDescent="0.25">
      <c r="A101" s="7" t="s">
        <v>129</v>
      </c>
      <c r="B101" s="13" t="s">
        <v>698</v>
      </c>
      <c r="C101" s="23"/>
      <c r="D101" s="24"/>
      <c r="E101" s="17"/>
      <c r="F101" s="82">
        <f>SUM(F102:F105)</f>
        <v>1100</v>
      </c>
      <c r="G101" s="89">
        <f t="shared" si="43"/>
        <v>0</v>
      </c>
      <c r="H101" s="18">
        <f t="shared" si="34"/>
        <v>1100</v>
      </c>
      <c r="I101" s="54">
        <f t="shared" ref="I101:Q101" si="57">SUM(I102:I105)</f>
        <v>1100</v>
      </c>
      <c r="J101" s="55">
        <f t="shared" si="57"/>
        <v>0</v>
      </c>
      <c r="K101" s="55">
        <f t="shared" si="57"/>
        <v>0</v>
      </c>
      <c r="L101" s="55">
        <f t="shared" si="57"/>
        <v>0</v>
      </c>
      <c r="M101" s="55">
        <f t="shared" si="57"/>
        <v>0</v>
      </c>
      <c r="N101" s="55">
        <f t="shared" si="57"/>
        <v>0</v>
      </c>
      <c r="O101" s="55">
        <f t="shared" si="57"/>
        <v>0</v>
      </c>
      <c r="P101" s="55">
        <f t="shared" si="57"/>
        <v>0</v>
      </c>
      <c r="Q101" s="56">
        <f t="shared" si="57"/>
        <v>0</v>
      </c>
      <c r="R101" s="169">
        <f>SUM(R102:R105)</f>
        <v>300</v>
      </c>
      <c r="S101" s="89">
        <f t="shared" si="39"/>
        <v>-300</v>
      </c>
      <c r="T101" s="216">
        <f t="shared" si="40"/>
        <v>0</v>
      </c>
      <c r="U101" s="144">
        <f>SUM(U102:U105)</f>
        <v>0</v>
      </c>
      <c r="V101" s="145">
        <f t="shared" ref="V101:AC101" si="58">SUM(V102:V105)</f>
        <v>0</v>
      </c>
      <c r="W101" s="145">
        <f t="shared" si="58"/>
        <v>0</v>
      </c>
      <c r="X101" s="145">
        <f t="shared" si="58"/>
        <v>0</v>
      </c>
      <c r="Y101" s="145">
        <f t="shared" si="58"/>
        <v>0</v>
      </c>
      <c r="Z101" s="145">
        <f t="shared" si="58"/>
        <v>0</v>
      </c>
      <c r="AA101" s="145">
        <f t="shared" si="58"/>
        <v>0</v>
      </c>
      <c r="AB101" s="145">
        <f t="shared" si="58"/>
        <v>0</v>
      </c>
      <c r="AC101" s="146">
        <f t="shared" si="58"/>
        <v>0</v>
      </c>
      <c r="AD101" s="33">
        <v>1000</v>
      </c>
      <c r="AE101" s="33">
        <v>755</v>
      </c>
      <c r="AF101" s="127">
        <f>AE101*100/AD101</f>
        <v>75.5</v>
      </c>
    </row>
    <row r="102" spans="1:32" outlineLevel="1" x14ac:dyDescent="0.25">
      <c r="A102" s="4" t="s">
        <v>130</v>
      </c>
      <c r="B102" s="75" t="s">
        <v>27</v>
      </c>
      <c r="C102" s="25" t="s">
        <v>107</v>
      </c>
      <c r="D102" s="92">
        <v>0</v>
      </c>
      <c r="E102" s="110">
        <v>0</v>
      </c>
      <c r="F102" s="93">
        <f>D102*E102</f>
        <v>0</v>
      </c>
      <c r="G102" s="74">
        <f t="shared" si="43"/>
        <v>0</v>
      </c>
      <c r="H102" s="95">
        <f t="shared" si="34"/>
        <v>0</v>
      </c>
      <c r="I102" s="112"/>
      <c r="J102" s="57"/>
      <c r="K102" s="57"/>
      <c r="L102" s="57"/>
      <c r="M102" s="57"/>
      <c r="N102" s="57"/>
      <c r="O102" s="57"/>
      <c r="P102" s="68"/>
      <c r="Q102" s="58"/>
      <c r="R102" s="170">
        <f>P102*Q102</f>
        <v>0</v>
      </c>
      <c r="S102" s="89">
        <f t="shared" si="39"/>
        <v>0</v>
      </c>
      <c r="T102" s="216">
        <f t="shared" si="40"/>
        <v>0</v>
      </c>
      <c r="U102" s="147"/>
      <c r="V102" s="148"/>
      <c r="W102" s="148"/>
      <c r="X102" s="148"/>
      <c r="Y102" s="148"/>
      <c r="Z102" s="148"/>
      <c r="AA102" s="148"/>
      <c r="AB102" s="149"/>
      <c r="AC102" s="150"/>
      <c r="AD102" s="76"/>
      <c r="AE102" s="76"/>
      <c r="AF102" s="128"/>
    </row>
    <row r="103" spans="1:32" outlineLevel="1" x14ac:dyDescent="0.25">
      <c r="A103" s="6" t="s">
        <v>131</v>
      </c>
      <c r="B103" s="75" t="s">
        <v>108</v>
      </c>
      <c r="C103" s="25" t="s">
        <v>973</v>
      </c>
      <c r="D103" s="92">
        <v>1</v>
      </c>
      <c r="E103" s="110">
        <v>500</v>
      </c>
      <c r="F103" s="93">
        <f>D103*E103</f>
        <v>500</v>
      </c>
      <c r="G103" s="74">
        <f t="shared" si="43"/>
        <v>0</v>
      </c>
      <c r="H103" s="95">
        <f t="shared" si="34"/>
        <v>500</v>
      </c>
      <c r="I103" s="112">
        <v>500</v>
      </c>
      <c r="J103" s="57"/>
      <c r="K103" s="57"/>
      <c r="L103" s="57"/>
      <c r="M103" s="57"/>
      <c r="N103" s="57"/>
      <c r="O103" s="57"/>
      <c r="P103" s="68"/>
      <c r="Q103" s="58"/>
      <c r="R103" s="170">
        <v>300</v>
      </c>
      <c r="S103" s="89">
        <f t="shared" si="39"/>
        <v>-300</v>
      </c>
      <c r="T103" s="216">
        <f t="shared" si="40"/>
        <v>0</v>
      </c>
      <c r="U103" s="147"/>
      <c r="V103" s="148"/>
      <c r="W103" s="148"/>
      <c r="X103" s="148"/>
      <c r="Y103" s="148"/>
      <c r="Z103" s="148"/>
      <c r="AA103" s="148"/>
      <c r="AB103" s="149"/>
      <c r="AC103" s="150"/>
      <c r="AD103" s="76"/>
      <c r="AE103" s="76"/>
      <c r="AF103" s="128"/>
    </row>
    <row r="104" spans="1:32" outlineLevel="1" x14ac:dyDescent="0.25">
      <c r="A104" s="4" t="s">
        <v>132</v>
      </c>
      <c r="B104" s="75" t="s">
        <v>109</v>
      </c>
      <c r="C104" s="25" t="s">
        <v>974</v>
      </c>
      <c r="D104" s="92">
        <v>1</v>
      </c>
      <c r="E104" s="110">
        <v>500</v>
      </c>
      <c r="F104" s="93">
        <f>D104*E104</f>
        <v>500</v>
      </c>
      <c r="G104" s="74">
        <f t="shared" si="43"/>
        <v>0</v>
      </c>
      <c r="H104" s="95">
        <f t="shared" si="34"/>
        <v>500</v>
      </c>
      <c r="I104" s="112">
        <v>500</v>
      </c>
      <c r="J104" s="57"/>
      <c r="K104" s="57"/>
      <c r="L104" s="57"/>
      <c r="M104" s="57"/>
      <c r="N104" s="57"/>
      <c r="O104" s="57"/>
      <c r="P104" s="68"/>
      <c r="Q104" s="58"/>
      <c r="R104" s="170">
        <f>P104*Q104</f>
        <v>0</v>
      </c>
      <c r="S104" s="89">
        <f t="shared" si="39"/>
        <v>0</v>
      </c>
      <c r="T104" s="216">
        <f t="shared" si="40"/>
        <v>0</v>
      </c>
      <c r="U104" s="147"/>
      <c r="V104" s="148"/>
      <c r="W104" s="148"/>
      <c r="X104" s="148"/>
      <c r="Y104" s="148"/>
      <c r="Z104" s="148"/>
      <c r="AA104" s="148"/>
      <c r="AB104" s="149"/>
      <c r="AC104" s="150"/>
      <c r="AD104" s="76"/>
      <c r="AE104" s="76"/>
      <c r="AF104" s="128"/>
    </row>
    <row r="105" spans="1:32" outlineLevel="1" x14ac:dyDescent="0.25">
      <c r="A105" s="4" t="s">
        <v>133</v>
      </c>
      <c r="B105" s="75" t="s">
        <v>28</v>
      </c>
      <c r="C105" s="25"/>
      <c r="D105" s="92">
        <v>1</v>
      </c>
      <c r="E105" s="110">
        <v>100</v>
      </c>
      <c r="F105" s="93">
        <f>D105*E105</f>
        <v>100</v>
      </c>
      <c r="G105" s="74">
        <f t="shared" si="43"/>
        <v>0</v>
      </c>
      <c r="H105" s="95">
        <f t="shared" si="34"/>
        <v>100</v>
      </c>
      <c r="I105" s="112">
        <v>100</v>
      </c>
      <c r="J105" s="57"/>
      <c r="K105" s="57"/>
      <c r="L105" s="57"/>
      <c r="M105" s="57"/>
      <c r="N105" s="57"/>
      <c r="O105" s="57"/>
      <c r="P105" s="68"/>
      <c r="Q105" s="58"/>
      <c r="R105" s="170">
        <f>P105*Q105</f>
        <v>0</v>
      </c>
      <c r="S105" s="89">
        <f t="shared" si="39"/>
        <v>0</v>
      </c>
      <c r="T105" s="216">
        <f t="shared" si="40"/>
        <v>0</v>
      </c>
      <c r="U105" s="147"/>
      <c r="V105" s="148"/>
      <c r="W105" s="148"/>
      <c r="X105" s="148"/>
      <c r="Y105" s="148"/>
      <c r="Z105" s="148"/>
      <c r="AA105" s="148"/>
      <c r="AB105" s="149"/>
      <c r="AC105" s="150"/>
      <c r="AD105" s="76"/>
      <c r="AE105" s="76"/>
      <c r="AF105" s="128"/>
    </row>
    <row r="106" spans="1:32" s="3" customFormat="1" ht="15.75" x14ac:dyDescent="0.25">
      <c r="A106" s="7" t="s">
        <v>539</v>
      </c>
      <c r="B106" s="13" t="s">
        <v>577</v>
      </c>
      <c r="C106" s="23"/>
      <c r="D106" s="24"/>
      <c r="E106" s="17"/>
      <c r="F106" s="82">
        <f>SUM(F107:F109)</f>
        <v>400</v>
      </c>
      <c r="G106" s="89">
        <f t="shared" si="43"/>
        <v>0</v>
      </c>
      <c r="H106" s="18">
        <f t="shared" si="34"/>
        <v>400</v>
      </c>
      <c r="I106" s="54">
        <f t="shared" ref="I106:Q106" si="59">SUM(I107:I109)</f>
        <v>400</v>
      </c>
      <c r="J106" s="55">
        <f t="shared" si="59"/>
        <v>0</v>
      </c>
      <c r="K106" s="55">
        <f t="shared" si="59"/>
        <v>0</v>
      </c>
      <c r="L106" s="55">
        <f t="shared" si="59"/>
        <v>0</v>
      </c>
      <c r="M106" s="55">
        <f t="shared" si="59"/>
        <v>0</v>
      </c>
      <c r="N106" s="55">
        <f t="shared" si="59"/>
        <v>0</v>
      </c>
      <c r="O106" s="55">
        <f t="shared" si="59"/>
        <v>0</v>
      </c>
      <c r="P106" s="55">
        <f t="shared" si="59"/>
        <v>0</v>
      </c>
      <c r="Q106" s="56">
        <f t="shared" si="59"/>
        <v>0</v>
      </c>
      <c r="R106" s="169">
        <f>SUM(R107:R109)</f>
        <v>400</v>
      </c>
      <c r="S106" s="89">
        <f t="shared" si="39"/>
        <v>-400</v>
      </c>
      <c r="T106" s="216">
        <f t="shared" si="40"/>
        <v>0</v>
      </c>
      <c r="U106" s="144">
        <f>SUM(U107:U109)</f>
        <v>0</v>
      </c>
      <c r="V106" s="145">
        <f t="shared" ref="V106:AC106" si="60">SUM(V107:V109)</f>
        <v>0</v>
      </c>
      <c r="W106" s="145">
        <f t="shared" si="60"/>
        <v>0</v>
      </c>
      <c r="X106" s="145">
        <f t="shared" si="60"/>
        <v>0</v>
      </c>
      <c r="Y106" s="145">
        <f t="shared" si="60"/>
        <v>0</v>
      </c>
      <c r="Z106" s="145">
        <f t="shared" si="60"/>
        <v>0</v>
      </c>
      <c r="AA106" s="145">
        <f t="shared" si="60"/>
        <v>0</v>
      </c>
      <c r="AB106" s="145">
        <f t="shared" si="60"/>
        <v>0</v>
      </c>
      <c r="AC106" s="146">
        <f t="shared" si="60"/>
        <v>0</v>
      </c>
      <c r="AD106" s="33">
        <v>400</v>
      </c>
      <c r="AE106" s="33">
        <v>400</v>
      </c>
      <c r="AF106" s="127">
        <f>AE106*100/AD106</f>
        <v>100</v>
      </c>
    </row>
    <row r="107" spans="1:32" outlineLevel="1" x14ac:dyDescent="0.25">
      <c r="A107" s="4" t="s">
        <v>540</v>
      </c>
      <c r="B107" s="75" t="s">
        <v>29</v>
      </c>
      <c r="C107" s="25"/>
      <c r="D107" s="92">
        <v>1</v>
      </c>
      <c r="E107" s="110">
        <v>400</v>
      </c>
      <c r="F107" s="93">
        <f>D107*E107</f>
        <v>400</v>
      </c>
      <c r="G107" s="74">
        <f t="shared" si="43"/>
        <v>0</v>
      </c>
      <c r="H107" s="95">
        <f t="shared" si="34"/>
        <v>400</v>
      </c>
      <c r="I107" s="112">
        <v>400</v>
      </c>
      <c r="J107" s="57"/>
      <c r="K107" s="57"/>
      <c r="L107" s="57"/>
      <c r="M107" s="57"/>
      <c r="N107" s="57"/>
      <c r="O107" s="57"/>
      <c r="P107" s="68"/>
      <c r="Q107" s="58"/>
      <c r="R107" s="170">
        <v>400</v>
      </c>
      <c r="S107" s="89">
        <f t="shared" si="39"/>
        <v>-400</v>
      </c>
      <c r="T107" s="216">
        <f t="shared" si="40"/>
        <v>0</v>
      </c>
      <c r="U107" s="147"/>
      <c r="V107" s="148"/>
      <c r="W107" s="148"/>
      <c r="X107" s="148"/>
      <c r="Y107" s="148"/>
      <c r="Z107" s="148"/>
      <c r="AA107" s="148"/>
      <c r="AB107" s="149"/>
      <c r="AC107" s="150"/>
      <c r="AD107" s="76"/>
      <c r="AE107" s="76"/>
      <c r="AF107" s="128"/>
    </row>
    <row r="108" spans="1:32" outlineLevel="1" x14ac:dyDescent="0.25">
      <c r="A108" s="4" t="s">
        <v>541</v>
      </c>
      <c r="B108" s="75" t="s">
        <v>30</v>
      </c>
      <c r="C108" s="25" t="s">
        <v>975</v>
      </c>
      <c r="D108" s="92">
        <v>0</v>
      </c>
      <c r="E108" s="110">
        <v>0</v>
      </c>
      <c r="F108" s="93">
        <f>D108*E108</f>
        <v>0</v>
      </c>
      <c r="G108" s="74">
        <f t="shared" si="43"/>
        <v>0</v>
      </c>
      <c r="H108" s="95">
        <f t="shared" si="34"/>
        <v>0</v>
      </c>
      <c r="I108" s="112"/>
      <c r="J108" s="57"/>
      <c r="K108" s="57"/>
      <c r="L108" s="57"/>
      <c r="M108" s="57"/>
      <c r="N108" s="57"/>
      <c r="O108" s="57"/>
      <c r="P108" s="68"/>
      <c r="Q108" s="58"/>
      <c r="R108" s="170">
        <f>P108*Q108</f>
        <v>0</v>
      </c>
      <c r="S108" s="89">
        <f t="shared" si="39"/>
        <v>0</v>
      </c>
      <c r="T108" s="216">
        <f t="shared" si="40"/>
        <v>0</v>
      </c>
      <c r="U108" s="147"/>
      <c r="V108" s="148"/>
      <c r="W108" s="148"/>
      <c r="X108" s="148"/>
      <c r="Y108" s="148"/>
      <c r="Z108" s="148"/>
      <c r="AA108" s="148"/>
      <c r="AB108" s="149"/>
      <c r="AC108" s="150"/>
      <c r="AD108" s="76"/>
      <c r="AE108" s="76"/>
      <c r="AF108" s="128"/>
    </row>
    <row r="109" spans="1:32" outlineLevel="1" x14ac:dyDescent="0.25">
      <c r="A109" s="4" t="s">
        <v>542</v>
      </c>
      <c r="B109" s="75" t="s">
        <v>31</v>
      </c>
      <c r="C109" s="25"/>
      <c r="D109" s="92">
        <v>0</v>
      </c>
      <c r="E109" s="110">
        <v>0</v>
      </c>
      <c r="F109" s="93">
        <f>D109*E109</f>
        <v>0</v>
      </c>
      <c r="G109" s="74">
        <f t="shared" si="43"/>
        <v>0</v>
      </c>
      <c r="H109" s="95">
        <f t="shared" si="34"/>
        <v>0</v>
      </c>
      <c r="I109" s="112"/>
      <c r="J109" s="57"/>
      <c r="K109" s="57"/>
      <c r="L109" s="57"/>
      <c r="M109" s="57"/>
      <c r="N109" s="57"/>
      <c r="O109" s="57"/>
      <c r="P109" s="68"/>
      <c r="Q109" s="58"/>
      <c r="R109" s="170">
        <f>P109*Q109</f>
        <v>0</v>
      </c>
      <c r="S109" s="89">
        <f t="shared" si="39"/>
        <v>0</v>
      </c>
      <c r="T109" s="216">
        <f t="shared" si="40"/>
        <v>0</v>
      </c>
      <c r="U109" s="147"/>
      <c r="V109" s="148"/>
      <c r="W109" s="148"/>
      <c r="X109" s="148"/>
      <c r="Y109" s="148"/>
      <c r="Z109" s="148"/>
      <c r="AA109" s="148"/>
      <c r="AB109" s="149"/>
      <c r="AC109" s="150"/>
      <c r="AD109" s="76"/>
      <c r="AE109" s="76"/>
      <c r="AF109" s="128"/>
    </row>
    <row r="110" spans="1:32" s="3" customFormat="1" ht="15.75" x14ac:dyDescent="0.25">
      <c r="A110" s="7" t="s">
        <v>543</v>
      </c>
      <c r="B110" s="13" t="s">
        <v>578</v>
      </c>
      <c r="C110" s="23"/>
      <c r="D110" s="24"/>
      <c r="E110" s="17"/>
      <c r="F110" s="82">
        <f>SUM(F111:F113)</f>
        <v>1000</v>
      </c>
      <c r="G110" s="89">
        <f t="shared" si="43"/>
        <v>0</v>
      </c>
      <c r="H110" s="18">
        <f t="shared" si="34"/>
        <v>1000</v>
      </c>
      <c r="I110" s="54">
        <f t="shared" ref="I110:Q110" si="61">SUM(I111:I113)</f>
        <v>1000</v>
      </c>
      <c r="J110" s="55">
        <f t="shared" si="61"/>
        <v>0</v>
      </c>
      <c r="K110" s="55">
        <f t="shared" si="61"/>
        <v>0</v>
      </c>
      <c r="L110" s="55">
        <f t="shared" si="61"/>
        <v>0</v>
      </c>
      <c r="M110" s="55">
        <f t="shared" si="61"/>
        <v>0</v>
      </c>
      <c r="N110" s="55">
        <f t="shared" si="61"/>
        <v>0</v>
      </c>
      <c r="O110" s="55">
        <f t="shared" si="61"/>
        <v>0</v>
      </c>
      <c r="P110" s="55">
        <f t="shared" si="61"/>
        <v>0</v>
      </c>
      <c r="Q110" s="56">
        <f t="shared" si="61"/>
        <v>0</v>
      </c>
      <c r="R110" s="169">
        <f>SUM(R111:R113)</f>
        <v>500</v>
      </c>
      <c r="S110" s="89">
        <f t="shared" si="39"/>
        <v>-500</v>
      </c>
      <c r="T110" s="216">
        <f t="shared" si="40"/>
        <v>0</v>
      </c>
      <c r="U110" s="144">
        <f>SUM(U111:U113)</f>
        <v>0</v>
      </c>
      <c r="V110" s="145">
        <f t="shared" ref="V110:AC110" si="62">SUM(V111:V113)</f>
        <v>0</v>
      </c>
      <c r="W110" s="145">
        <f t="shared" si="62"/>
        <v>0</v>
      </c>
      <c r="X110" s="145">
        <f t="shared" si="62"/>
        <v>0</v>
      </c>
      <c r="Y110" s="145">
        <f t="shared" si="62"/>
        <v>0</v>
      </c>
      <c r="Z110" s="145">
        <f t="shared" si="62"/>
        <v>0</v>
      </c>
      <c r="AA110" s="145">
        <f t="shared" si="62"/>
        <v>0</v>
      </c>
      <c r="AB110" s="145">
        <f t="shared" si="62"/>
        <v>0</v>
      </c>
      <c r="AC110" s="146">
        <f t="shared" si="62"/>
        <v>0</v>
      </c>
      <c r="AD110" s="33">
        <v>1000</v>
      </c>
      <c r="AE110" s="33">
        <v>998</v>
      </c>
      <c r="AF110" s="127">
        <f>AE110*100/AD110</f>
        <v>99.8</v>
      </c>
    </row>
    <row r="111" spans="1:32" outlineLevel="1" x14ac:dyDescent="0.25">
      <c r="A111" s="4" t="s">
        <v>544</v>
      </c>
      <c r="B111" s="75" t="s">
        <v>32</v>
      </c>
      <c r="C111" s="25"/>
      <c r="D111" s="92">
        <v>1</v>
      </c>
      <c r="E111" s="110">
        <v>500</v>
      </c>
      <c r="F111" s="93">
        <f>D111*E111</f>
        <v>500</v>
      </c>
      <c r="G111" s="74">
        <f t="shared" si="43"/>
        <v>0</v>
      </c>
      <c r="H111" s="95">
        <f t="shared" si="34"/>
        <v>500</v>
      </c>
      <c r="I111" s="112">
        <v>500</v>
      </c>
      <c r="J111" s="57"/>
      <c r="K111" s="57"/>
      <c r="L111" s="57"/>
      <c r="M111" s="57"/>
      <c r="N111" s="57"/>
      <c r="O111" s="57"/>
      <c r="P111" s="68"/>
      <c r="Q111" s="58"/>
      <c r="R111" s="170">
        <v>500</v>
      </c>
      <c r="S111" s="89">
        <f t="shared" si="39"/>
        <v>-500</v>
      </c>
      <c r="T111" s="216">
        <f t="shared" si="40"/>
        <v>0</v>
      </c>
      <c r="U111" s="147"/>
      <c r="V111" s="148"/>
      <c r="W111" s="148"/>
      <c r="X111" s="148"/>
      <c r="Y111" s="148"/>
      <c r="Z111" s="148"/>
      <c r="AA111" s="148"/>
      <c r="AB111" s="149"/>
      <c r="AC111" s="150"/>
      <c r="AD111" s="76"/>
      <c r="AE111" s="76"/>
      <c r="AF111" s="128"/>
    </row>
    <row r="112" spans="1:32" outlineLevel="1" x14ac:dyDescent="0.25">
      <c r="A112" s="4" t="s">
        <v>545</v>
      </c>
      <c r="B112" s="75" t="s">
        <v>33</v>
      </c>
      <c r="C112" s="25"/>
      <c r="D112" s="92">
        <v>1</v>
      </c>
      <c r="E112" s="110">
        <v>500</v>
      </c>
      <c r="F112" s="93">
        <f>D112*E112</f>
        <v>500</v>
      </c>
      <c r="G112" s="74">
        <f t="shared" si="43"/>
        <v>0</v>
      </c>
      <c r="H112" s="95">
        <f t="shared" si="34"/>
        <v>500</v>
      </c>
      <c r="I112" s="112">
        <v>500</v>
      </c>
      <c r="J112" s="57"/>
      <c r="K112" s="57"/>
      <c r="L112" s="57"/>
      <c r="M112" s="57"/>
      <c r="N112" s="57"/>
      <c r="O112" s="57"/>
      <c r="P112" s="68"/>
      <c r="Q112" s="58"/>
      <c r="R112" s="170">
        <f>P112*Q112</f>
        <v>0</v>
      </c>
      <c r="S112" s="89">
        <f t="shared" si="39"/>
        <v>0</v>
      </c>
      <c r="T112" s="216">
        <f t="shared" si="40"/>
        <v>0</v>
      </c>
      <c r="U112" s="147"/>
      <c r="V112" s="148"/>
      <c r="W112" s="148"/>
      <c r="X112" s="148"/>
      <c r="Y112" s="148"/>
      <c r="Z112" s="148"/>
      <c r="AA112" s="148"/>
      <c r="AB112" s="149"/>
      <c r="AC112" s="150"/>
      <c r="AD112" s="76"/>
      <c r="AE112" s="76"/>
      <c r="AF112" s="128"/>
    </row>
    <row r="113" spans="1:32" outlineLevel="1" x14ac:dyDescent="0.25">
      <c r="A113" s="4" t="s">
        <v>546</v>
      </c>
      <c r="B113" s="75" t="s">
        <v>34</v>
      </c>
      <c r="C113" s="25"/>
      <c r="D113" s="92">
        <v>0</v>
      </c>
      <c r="E113" s="110">
        <v>0</v>
      </c>
      <c r="F113" s="93">
        <f>D113*E113</f>
        <v>0</v>
      </c>
      <c r="G113" s="74">
        <f t="shared" si="43"/>
        <v>0</v>
      </c>
      <c r="H113" s="95">
        <f t="shared" si="34"/>
        <v>0</v>
      </c>
      <c r="I113" s="112"/>
      <c r="J113" s="57"/>
      <c r="K113" s="57"/>
      <c r="L113" s="57"/>
      <c r="M113" s="57"/>
      <c r="N113" s="57"/>
      <c r="O113" s="57"/>
      <c r="P113" s="68"/>
      <c r="Q113" s="58"/>
      <c r="R113" s="170">
        <f>P113*Q113</f>
        <v>0</v>
      </c>
      <c r="S113" s="89">
        <f t="shared" si="39"/>
        <v>0</v>
      </c>
      <c r="T113" s="216">
        <f t="shared" si="40"/>
        <v>0</v>
      </c>
      <c r="U113" s="147"/>
      <c r="V113" s="148"/>
      <c r="W113" s="148"/>
      <c r="X113" s="148"/>
      <c r="Y113" s="148"/>
      <c r="Z113" s="148"/>
      <c r="AA113" s="148"/>
      <c r="AB113" s="149"/>
      <c r="AC113" s="150"/>
      <c r="AD113" s="76"/>
      <c r="AE113" s="76"/>
      <c r="AF113" s="128"/>
    </row>
    <row r="114" spans="1:32" s="3" customFormat="1" ht="15.75" x14ac:dyDescent="0.25">
      <c r="A114" s="7" t="s">
        <v>547</v>
      </c>
      <c r="B114" s="13" t="s">
        <v>579</v>
      </c>
      <c r="C114" s="23"/>
      <c r="D114" s="24"/>
      <c r="E114" s="17"/>
      <c r="F114" s="82">
        <f>SUM(F115:F117)</f>
        <v>2600</v>
      </c>
      <c r="G114" s="89">
        <f t="shared" si="43"/>
        <v>0</v>
      </c>
      <c r="H114" s="18">
        <f t="shared" si="34"/>
        <v>2600</v>
      </c>
      <c r="I114" s="54">
        <f t="shared" ref="I114:Q114" si="63">SUM(I115:I117)</f>
        <v>600</v>
      </c>
      <c r="J114" s="55">
        <f t="shared" si="63"/>
        <v>0</v>
      </c>
      <c r="K114" s="55">
        <f t="shared" si="63"/>
        <v>0</v>
      </c>
      <c r="L114" s="55">
        <f t="shared" si="63"/>
        <v>2000</v>
      </c>
      <c r="M114" s="55">
        <f t="shared" si="63"/>
        <v>0</v>
      </c>
      <c r="N114" s="55">
        <f t="shared" si="63"/>
        <v>0</v>
      </c>
      <c r="O114" s="55">
        <f t="shared" si="63"/>
        <v>0</v>
      </c>
      <c r="P114" s="55">
        <f t="shared" si="63"/>
        <v>0</v>
      </c>
      <c r="Q114" s="56">
        <f t="shared" si="63"/>
        <v>0</v>
      </c>
      <c r="R114" s="169">
        <f>SUM(R115:R117)</f>
        <v>1000</v>
      </c>
      <c r="S114" s="89">
        <f t="shared" si="39"/>
        <v>-1000</v>
      </c>
      <c r="T114" s="216">
        <f t="shared" si="40"/>
        <v>0</v>
      </c>
      <c r="U114" s="144">
        <f>SUM(U115:U117)</f>
        <v>0</v>
      </c>
      <c r="V114" s="145">
        <f t="shared" ref="V114:AC114" si="64">SUM(V115:V117)</f>
        <v>0</v>
      </c>
      <c r="W114" s="145">
        <f t="shared" si="64"/>
        <v>0</v>
      </c>
      <c r="X114" s="145">
        <f t="shared" si="64"/>
        <v>0</v>
      </c>
      <c r="Y114" s="145">
        <f t="shared" si="64"/>
        <v>0</v>
      </c>
      <c r="Z114" s="145">
        <f t="shared" si="64"/>
        <v>0</v>
      </c>
      <c r="AA114" s="145">
        <f t="shared" si="64"/>
        <v>0</v>
      </c>
      <c r="AB114" s="145">
        <f t="shared" si="64"/>
        <v>0</v>
      </c>
      <c r="AC114" s="146">
        <f t="shared" si="64"/>
        <v>0</v>
      </c>
      <c r="AD114" s="33">
        <v>0</v>
      </c>
      <c r="AE114" s="33">
        <f>SUM(AE115:AE117)</f>
        <v>0</v>
      </c>
      <c r="AF114" s="127"/>
    </row>
    <row r="115" spans="1:32" outlineLevel="1" x14ac:dyDescent="0.25">
      <c r="A115" s="4" t="s">
        <v>548</v>
      </c>
      <c r="B115" s="75" t="s">
        <v>35</v>
      </c>
      <c r="C115" s="25"/>
      <c r="D115" s="92">
        <v>1</v>
      </c>
      <c r="E115" s="110">
        <v>2000</v>
      </c>
      <c r="F115" s="93">
        <f>D115*E115</f>
        <v>2000</v>
      </c>
      <c r="G115" s="74">
        <f t="shared" si="43"/>
        <v>0</v>
      </c>
      <c r="H115" s="95">
        <f t="shared" si="34"/>
        <v>2000</v>
      </c>
      <c r="I115" s="112">
        <v>0</v>
      </c>
      <c r="J115" s="57"/>
      <c r="K115" s="57"/>
      <c r="L115" s="57">
        <v>2000</v>
      </c>
      <c r="M115" s="57"/>
      <c r="N115" s="57"/>
      <c r="O115" s="57"/>
      <c r="P115" s="68"/>
      <c r="Q115" s="58"/>
      <c r="R115" s="170">
        <v>1000</v>
      </c>
      <c r="S115" s="89">
        <f t="shared" si="39"/>
        <v>-1000</v>
      </c>
      <c r="T115" s="216">
        <f t="shared" si="40"/>
        <v>0</v>
      </c>
      <c r="U115" s="147"/>
      <c r="V115" s="148"/>
      <c r="W115" s="148"/>
      <c r="X115" s="148"/>
      <c r="Y115" s="148"/>
      <c r="Z115" s="148"/>
      <c r="AA115" s="148"/>
      <c r="AB115" s="149"/>
      <c r="AC115" s="150"/>
      <c r="AD115" s="76"/>
      <c r="AE115" s="76"/>
      <c r="AF115" s="128"/>
    </row>
    <row r="116" spans="1:32" outlineLevel="1" x14ac:dyDescent="0.25">
      <c r="A116" s="4" t="s">
        <v>549</v>
      </c>
      <c r="B116" s="75" t="s">
        <v>36</v>
      </c>
      <c r="C116" s="25"/>
      <c r="D116" s="92">
        <v>1</v>
      </c>
      <c r="E116" s="110">
        <v>500</v>
      </c>
      <c r="F116" s="93">
        <f>D116*E116</f>
        <v>500</v>
      </c>
      <c r="G116" s="74">
        <f t="shared" si="43"/>
        <v>0</v>
      </c>
      <c r="H116" s="95">
        <f t="shared" si="34"/>
        <v>500</v>
      </c>
      <c r="I116" s="112">
        <v>500</v>
      </c>
      <c r="J116" s="57"/>
      <c r="K116" s="57"/>
      <c r="L116" s="57"/>
      <c r="M116" s="57"/>
      <c r="N116" s="57"/>
      <c r="O116" s="57"/>
      <c r="P116" s="68"/>
      <c r="Q116" s="58"/>
      <c r="R116" s="170">
        <f>P116*Q116</f>
        <v>0</v>
      </c>
      <c r="S116" s="89">
        <f t="shared" si="39"/>
        <v>0</v>
      </c>
      <c r="T116" s="216">
        <f t="shared" si="40"/>
        <v>0</v>
      </c>
      <c r="U116" s="147"/>
      <c r="V116" s="148"/>
      <c r="W116" s="148"/>
      <c r="X116" s="148"/>
      <c r="Y116" s="148"/>
      <c r="Z116" s="148"/>
      <c r="AA116" s="148"/>
      <c r="AB116" s="149"/>
      <c r="AC116" s="150"/>
      <c r="AD116" s="76"/>
      <c r="AE116" s="76"/>
      <c r="AF116" s="128"/>
    </row>
    <row r="117" spans="1:32" outlineLevel="1" x14ac:dyDescent="0.25">
      <c r="A117" s="4" t="s">
        <v>550</v>
      </c>
      <c r="B117" s="75" t="s">
        <v>37</v>
      </c>
      <c r="C117" s="25"/>
      <c r="D117" s="92">
        <v>1</v>
      </c>
      <c r="E117" s="110">
        <v>100</v>
      </c>
      <c r="F117" s="93">
        <f>D117*E117</f>
        <v>100</v>
      </c>
      <c r="G117" s="74">
        <f t="shared" si="43"/>
        <v>0</v>
      </c>
      <c r="H117" s="95">
        <f t="shared" si="34"/>
        <v>100</v>
      </c>
      <c r="I117" s="112">
        <v>100</v>
      </c>
      <c r="J117" s="57"/>
      <c r="K117" s="57"/>
      <c r="L117" s="57"/>
      <c r="M117" s="57"/>
      <c r="N117" s="57"/>
      <c r="O117" s="57"/>
      <c r="P117" s="68"/>
      <c r="Q117" s="58"/>
      <c r="R117" s="170">
        <f>P117*Q117</f>
        <v>0</v>
      </c>
      <c r="S117" s="89">
        <f t="shared" si="39"/>
        <v>0</v>
      </c>
      <c r="T117" s="216">
        <f t="shared" si="40"/>
        <v>0</v>
      </c>
      <c r="U117" s="147"/>
      <c r="V117" s="148"/>
      <c r="W117" s="148"/>
      <c r="X117" s="148"/>
      <c r="Y117" s="148"/>
      <c r="Z117" s="148"/>
      <c r="AA117" s="148"/>
      <c r="AB117" s="149"/>
      <c r="AC117" s="150"/>
      <c r="AD117" s="76"/>
      <c r="AE117" s="76"/>
      <c r="AF117" s="128"/>
    </row>
    <row r="118" spans="1:32" s="3" customFormat="1" ht="15.75" x14ac:dyDescent="0.25">
      <c r="A118" s="7" t="s">
        <v>551</v>
      </c>
      <c r="B118" s="13" t="s">
        <v>580</v>
      </c>
      <c r="C118" s="23"/>
      <c r="D118" s="24"/>
      <c r="E118" s="17"/>
      <c r="F118" s="82">
        <f>SUM(F119:F121)</f>
        <v>1150</v>
      </c>
      <c r="G118" s="89">
        <f t="shared" si="43"/>
        <v>0</v>
      </c>
      <c r="H118" s="18">
        <f t="shared" si="34"/>
        <v>1150</v>
      </c>
      <c r="I118" s="54">
        <f t="shared" ref="I118:Q118" si="65">SUM(I119:I121)</f>
        <v>150</v>
      </c>
      <c r="J118" s="55">
        <f t="shared" si="65"/>
        <v>0</v>
      </c>
      <c r="K118" s="55">
        <f t="shared" si="65"/>
        <v>0</v>
      </c>
      <c r="L118" s="55">
        <f t="shared" si="65"/>
        <v>1000</v>
      </c>
      <c r="M118" s="55">
        <f t="shared" si="65"/>
        <v>0</v>
      </c>
      <c r="N118" s="55">
        <f t="shared" si="65"/>
        <v>0</v>
      </c>
      <c r="O118" s="55">
        <f t="shared" si="65"/>
        <v>0</v>
      </c>
      <c r="P118" s="55">
        <f t="shared" si="65"/>
        <v>0</v>
      </c>
      <c r="Q118" s="56">
        <f t="shared" si="65"/>
        <v>0</v>
      </c>
      <c r="R118" s="169">
        <f>SUM(R119:R121)</f>
        <v>400</v>
      </c>
      <c r="S118" s="89">
        <f t="shared" si="39"/>
        <v>-400</v>
      </c>
      <c r="T118" s="216">
        <f t="shared" si="40"/>
        <v>0</v>
      </c>
      <c r="U118" s="144">
        <f>SUM(U119:U121)</f>
        <v>0</v>
      </c>
      <c r="V118" s="145">
        <f t="shared" ref="V118:AC118" si="66">SUM(V119:V121)</f>
        <v>0</v>
      </c>
      <c r="W118" s="145">
        <f t="shared" si="66"/>
        <v>0</v>
      </c>
      <c r="X118" s="145">
        <f t="shared" si="66"/>
        <v>0</v>
      </c>
      <c r="Y118" s="145">
        <f t="shared" si="66"/>
        <v>0</v>
      </c>
      <c r="Z118" s="145">
        <f t="shared" si="66"/>
        <v>0</v>
      </c>
      <c r="AA118" s="145">
        <f t="shared" si="66"/>
        <v>0</v>
      </c>
      <c r="AB118" s="145">
        <f t="shared" si="66"/>
        <v>0</v>
      </c>
      <c r="AC118" s="146">
        <f t="shared" si="66"/>
        <v>0</v>
      </c>
      <c r="AD118" s="33">
        <v>1200</v>
      </c>
      <c r="AE118" s="33">
        <v>1300</v>
      </c>
      <c r="AF118" s="127">
        <f>AE118*100/AD118</f>
        <v>108.33333333333333</v>
      </c>
    </row>
    <row r="119" spans="1:32" outlineLevel="1" x14ac:dyDescent="0.25">
      <c r="A119" s="4" t="s">
        <v>552</v>
      </c>
      <c r="B119" s="75" t="s">
        <v>38</v>
      </c>
      <c r="C119" s="25"/>
      <c r="D119" s="92">
        <v>1</v>
      </c>
      <c r="E119" s="110">
        <v>650</v>
      </c>
      <c r="F119" s="93">
        <f>D119*E119</f>
        <v>650</v>
      </c>
      <c r="G119" s="74">
        <f t="shared" si="43"/>
        <v>0</v>
      </c>
      <c r="H119" s="95">
        <f t="shared" si="34"/>
        <v>650</v>
      </c>
      <c r="I119" s="112">
        <v>150</v>
      </c>
      <c r="J119" s="57"/>
      <c r="K119" s="57"/>
      <c r="L119" s="57">
        <v>500</v>
      </c>
      <c r="M119" s="57"/>
      <c r="N119" s="57"/>
      <c r="O119" s="57"/>
      <c r="P119" s="68"/>
      <c r="Q119" s="58"/>
      <c r="R119" s="170">
        <v>400</v>
      </c>
      <c r="S119" s="89">
        <f t="shared" si="39"/>
        <v>-400</v>
      </c>
      <c r="T119" s="216">
        <f t="shared" si="40"/>
        <v>0</v>
      </c>
      <c r="U119" s="147"/>
      <c r="V119" s="148"/>
      <c r="W119" s="148"/>
      <c r="X119" s="148"/>
      <c r="Y119" s="148"/>
      <c r="Z119" s="148"/>
      <c r="AA119" s="148"/>
      <c r="AB119" s="149"/>
      <c r="AC119" s="150"/>
      <c r="AD119" s="76"/>
      <c r="AE119" s="76"/>
      <c r="AF119" s="128"/>
    </row>
    <row r="120" spans="1:32" outlineLevel="1" x14ac:dyDescent="0.25">
      <c r="A120" s="4" t="s">
        <v>553</v>
      </c>
      <c r="B120" s="75" t="s">
        <v>39</v>
      </c>
      <c r="C120" s="25"/>
      <c r="D120" s="92">
        <v>1</v>
      </c>
      <c r="E120" s="110">
        <v>500</v>
      </c>
      <c r="F120" s="93">
        <f>D120*E120</f>
        <v>500</v>
      </c>
      <c r="G120" s="74">
        <f t="shared" si="43"/>
        <v>0</v>
      </c>
      <c r="H120" s="95">
        <f t="shared" si="34"/>
        <v>500</v>
      </c>
      <c r="I120" s="112"/>
      <c r="J120" s="57"/>
      <c r="K120" s="57"/>
      <c r="L120" s="57">
        <v>500</v>
      </c>
      <c r="M120" s="57"/>
      <c r="N120" s="57"/>
      <c r="O120" s="57"/>
      <c r="P120" s="68"/>
      <c r="Q120" s="58"/>
      <c r="R120" s="170">
        <f>P120*Q120</f>
        <v>0</v>
      </c>
      <c r="S120" s="89">
        <f t="shared" si="39"/>
        <v>0</v>
      </c>
      <c r="T120" s="216">
        <f t="shared" si="40"/>
        <v>0</v>
      </c>
      <c r="U120" s="147"/>
      <c r="V120" s="148"/>
      <c r="W120" s="148"/>
      <c r="X120" s="148"/>
      <c r="Y120" s="148"/>
      <c r="Z120" s="148"/>
      <c r="AA120" s="148"/>
      <c r="AB120" s="149"/>
      <c r="AC120" s="150"/>
      <c r="AD120" s="76"/>
      <c r="AE120" s="76"/>
      <c r="AF120" s="128"/>
    </row>
    <row r="121" spans="1:32" outlineLevel="1" x14ac:dyDescent="0.25">
      <c r="A121" s="4" t="s">
        <v>554</v>
      </c>
      <c r="B121" s="75" t="s">
        <v>40</v>
      </c>
      <c r="C121" s="25"/>
      <c r="D121" s="92">
        <v>0</v>
      </c>
      <c r="E121" s="110">
        <v>0</v>
      </c>
      <c r="F121" s="93">
        <f>D121*E121</f>
        <v>0</v>
      </c>
      <c r="G121" s="74">
        <f t="shared" si="43"/>
        <v>0</v>
      </c>
      <c r="H121" s="95">
        <f t="shared" si="34"/>
        <v>0</v>
      </c>
      <c r="I121" s="112"/>
      <c r="J121" s="57"/>
      <c r="K121" s="57"/>
      <c r="L121" s="57"/>
      <c r="M121" s="57"/>
      <c r="N121" s="57"/>
      <c r="O121" s="57"/>
      <c r="P121" s="68"/>
      <c r="Q121" s="58"/>
      <c r="R121" s="170">
        <f>P121*Q121</f>
        <v>0</v>
      </c>
      <c r="S121" s="89">
        <f t="shared" si="39"/>
        <v>0</v>
      </c>
      <c r="T121" s="216">
        <f t="shared" si="40"/>
        <v>0</v>
      </c>
      <c r="U121" s="147"/>
      <c r="V121" s="148"/>
      <c r="W121" s="148"/>
      <c r="X121" s="148"/>
      <c r="Y121" s="148"/>
      <c r="Z121" s="148"/>
      <c r="AA121" s="148"/>
      <c r="AB121" s="149"/>
      <c r="AC121" s="150"/>
      <c r="AD121" s="76"/>
      <c r="AE121" s="76"/>
      <c r="AF121" s="128"/>
    </row>
    <row r="122" spans="1:32" s="3" customFormat="1" ht="15.75" x14ac:dyDescent="0.25">
      <c r="A122" s="7" t="s">
        <v>555</v>
      </c>
      <c r="B122" s="13" t="s">
        <v>648</v>
      </c>
      <c r="C122" s="23"/>
      <c r="D122" s="24"/>
      <c r="E122" s="17"/>
      <c r="F122" s="82">
        <f>SUM(F123:F125)</f>
        <v>100</v>
      </c>
      <c r="G122" s="89">
        <f t="shared" si="43"/>
        <v>0</v>
      </c>
      <c r="H122" s="18">
        <f t="shared" si="34"/>
        <v>100</v>
      </c>
      <c r="I122" s="54">
        <f t="shared" ref="I122:Q122" si="67">SUM(I123:I125)</f>
        <v>100</v>
      </c>
      <c r="J122" s="55">
        <f t="shared" si="67"/>
        <v>0</v>
      </c>
      <c r="K122" s="55">
        <f t="shared" si="67"/>
        <v>0</v>
      </c>
      <c r="L122" s="55">
        <f>SUM(L123:L125)</f>
        <v>0</v>
      </c>
      <c r="M122" s="55">
        <f>SUM(M123:M125)</f>
        <v>0</v>
      </c>
      <c r="N122" s="55">
        <f t="shared" si="67"/>
        <v>0</v>
      </c>
      <c r="O122" s="55">
        <f t="shared" si="67"/>
        <v>0</v>
      </c>
      <c r="P122" s="55">
        <f t="shared" si="67"/>
        <v>0</v>
      </c>
      <c r="Q122" s="56">
        <f t="shared" si="67"/>
        <v>0</v>
      </c>
      <c r="R122" s="169">
        <f>SUM(R123:R125)</f>
        <v>0</v>
      </c>
      <c r="S122" s="89">
        <f t="shared" si="39"/>
        <v>0</v>
      </c>
      <c r="T122" s="216">
        <f t="shared" si="40"/>
        <v>0</v>
      </c>
      <c r="U122" s="144">
        <f t="shared" ref="U122:AC122" si="68">SUM(U123:U125)</f>
        <v>0</v>
      </c>
      <c r="V122" s="145">
        <f t="shared" si="68"/>
        <v>0</v>
      </c>
      <c r="W122" s="145">
        <f t="shared" si="68"/>
        <v>0</v>
      </c>
      <c r="X122" s="145">
        <f t="shared" si="68"/>
        <v>0</v>
      </c>
      <c r="Y122" s="145">
        <f t="shared" si="68"/>
        <v>0</v>
      </c>
      <c r="Z122" s="145">
        <f t="shared" si="68"/>
        <v>0</v>
      </c>
      <c r="AA122" s="145">
        <f t="shared" si="68"/>
        <v>0</v>
      </c>
      <c r="AB122" s="145">
        <f t="shared" si="68"/>
        <v>0</v>
      </c>
      <c r="AC122" s="146">
        <f t="shared" si="68"/>
        <v>0</v>
      </c>
      <c r="AD122" s="33">
        <v>0</v>
      </c>
      <c r="AE122" s="33">
        <f>SUM(AE123:AE125)</f>
        <v>0</v>
      </c>
      <c r="AF122" s="127"/>
    </row>
    <row r="123" spans="1:32" outlineLevel="1" x14ac:dyDescent="0.25">
      <c r="A123" s="4" t="s">
        <v>556</v>
      </c>
      <c r="B123" s="75" t="s">
        <v>41</v>
      </c>
      <c r="C123" s="25" t="s">
        <v>107</v>
      </c>
      <c r="D123" s="92">
        <v>0</v>
      </c>
      <c r="E123" s="110">
        <v>0</v>
      </c>
      <c r="F123" s="93">
        <f>D123*E123</f>
        <v>0</v>
      </c>
      <c r="G123" s="74">
        <f t="shared" si="43"/>
        <v>0</v>
      </c>
      <c r="H123" s="95">
        <f t="shared" si="34"/>
        <v>0</v>
      </c>
      <c r="I123" s="112"/>
      <c r="J123" s="57"/>
      <c r="K123" s="57"/>
      <c r="L123" s="57"/>
      <c r="M123" s="57"/>
      <c r="N123" s="57"/>
      <c r="O123" s="57"/>
      <c r="P123" s="68"/>
      <c r="Q123" s="58"/>
      <c r="R123" s="170">
        <f>P123*Q123</f>
        <v>0</v>
      </c>
      <c r="S123" s="89">
        <f t="shared" si="39"/>
        <v>0</v>
      </c>
      <c r="T123" s="216">
        <f t="shared" si="40"/>
        <v>0</v>
      </c>
      <c r="U123" s="147"/>
      <c r="V123" s="148"/>
      <c r="W123" s="148"/>
      <c r="X123" s="148"/>
      <c r="Y123" s="148"/>
      <c r="Z123" s="148"/>
      <c r="AA123" s="148"/>
      <c r="AB123" s="149"/>
      <c r="AC123" s="150"/>
      <c r="AD123" s="76"/>
      <c r="AE123" s="76"/>
      <c r="AF123" s="128"/>
    </row>
    <row r="124" spans="1:32" outlineLevel="1" x14ac:dyDescent="0.25">
      <c r="A124" s="4" t="s">
        <v>557</v>
      </c>
      <c r="B124" s="75" t="s">
        <v>42</v>
      </c>
      <c r="C124" s="25" t="s">
        <v>110</v>
      </c>
      <c r="D124" s="92">
        <v>0</v>
      </c>
      <c r="E124" s="110">
        <v>0</v>
      </c>
      <c r="F124" s="93">
        <f>D124*E124</f>
        <v>0</v>
      </c>
      <c r="G124" s="74">
        <f t="shared" si="43"/>
        <v>0</v>
      </c>
      <c r="H124" s="95">
        <f t="shared" si="34"/>
        <v>0</v>
      </c>
      <c r="I124" s="112"/>
      <c r="J124" s="57"/>
      <c r="K124" s="57"/>
      <c r="L124" s="57"/>
      <c r="M124" s="57"/>
      <c r="N124" s="57"/>
      <c r="O124" s="57"/>
      <c r="P124" s="68"/>
      <c r="Q124" s="58"/>
      <c r="R124" s="170">
        <f>P124*Q124</f>
        <v>0</v>
      </c>
      <c r="S124" s="89">
        <f t="shared" si="39"/>
        <v>0</v>
      </c>
      <c r="T124" s="216">
        <f t="shared" si="40"/>
        <v>0</v>
      </c>
      <c r="U124" s="147"/>
      <c r="V124" s="148"/>
      <c r="W124" s="148"/>
      <c r="X124" s="148"/>
      <c r="Y124" s="148"/>
      <c r="Z124" s="148"/>
      <c r="AA124" s="148"/>
      <c r="AB124" s="149"/>
      <c r="AC124" s="150"/>
      <c r="AD124" s="76"/>
      <c r="AE124" s="76"/>
      <c r="AF124" s="128"/>
    </row>
    <row r="125" spans="1:32" outlineLevel="1" x14ac:dyDescent="0.25">
      <c r="A125" s="4" t="s">
        <v>558</v>
      </c>
      <c r="B125" s="75" t="s">
        <v>43</v>
      </c>
      <c r="C125" s="25"/>
      <c r="D125" s="92">
        <v>1</v>
      </c>
      <c r="E125" s="110">
        <v>100</v>
      </c>
      <c r="F125" s="93">
        <f>D125*E125</f>
        <v>100</v>
      </c>
      <c r="G125" s="74">
        <f t="shared" si="43"/>
        <v>0</v>
      </c>
      <c r="H125" s="95">
        <f t="shared" ref="H125:H188" si="69">SUM(I125:Q125)</f>
        <v>100</v>
      </c>
      <c r="I125" s="112">
        <v>100</v>
      </c>
      <c r="J125" s="57"/>
      <c r="K125" s="57"/>
      <c r="L125" s="57"/>
      <c r="M125" s="57"/>
      <c r="N125" s="57"/>
      <c r="O125" s="57"/>
      <c r="P125" s="68"/>
      <c r="Q125" s="58"/>
      <c r="R125" s="170">
        <f>P125*Q125</f>
        <v>0</v>
      </c>
      <c r="S125" s="89">
        <f t="shared" si="39"/>
        <v>0</v>
      </c>
      <c r="T125" s="216">
        <f t="shared" si="40"/>
        <v>0</v>
      </c>
      <c r="U125" s="147"/>
      <c r="V125" s="148"/>
      <c r="W125" s="148"/>
      <c r="X125" s="148"/>
      <c r="Y125" s="148"/>
      <c r="Z125" s="148"/>
      <c r="AA125" s="148"/>
      <c r="AB125" s="149"/>
      <c r="AC125" s="150"/>
      <c r="AD125" s="76"/>
      <c r="AE125" s="76"/>
      <c r="AF125" s="128"/>
    </row>
    <row r="126" spans="1:32" s="3" customFormat="1" ht="15.75" x14ac:dyDescent="0.25">
      <c r="A126" s="7" t="s">
        <v>559</v>
      </c>
      <c r="B126" s="13" t="s">
        <v>111</v>
      </c>
      <c r="C126" s="23"/>
      <c r="D126" s="24"/>
      <c r="E126" s="17"/>
      <c r="F126" s="82">
        <f>SUM(F127:F129)</f>
        <v>700</v>
      </c>
      <c r="G126" s="89">
        <f t="shared" si="43"/>
        <v>0</v>
      </c>
      <c r="H126" s="18">
        <f t="shared" si="69"/>
        <v>700</v>
      </c>
      <c r="I126" s="54">
        <f t="shared" ref="I126:Q126" si="70">SUM(I127:I129)</f>
        <v>0</v>
      </c>
      <c r="J126" s="55">
        <f t="shared" si="70"/>
        <v>0</v>
      </c>
      <c r="K126" s="55">
        <f t="shared" si="70"/>
        <v>0</v>
      </c>
      <c r="L126" s="55">
        <f t="shared" si="70"/>
        <v>0</v>
      </c>
      <c r="M126" s="55">
        <f t="shared" si="70"/>
        <v>0</v>
      </c>
      <c r="N126" s="55">
        <f t="shared" si="70"/>
        <v>0</v>
      </c>
      <c r="O126" s="55">
        <f t="shared" si="70"/>
        <v>0</v>
      </c>
      <c r="P126" s="55">
        <f t="shared" si="70"/>
        <v>0</v>
      </c>
      <c r="Q126" s="56">
        <f t="shared" si="70"/>
        <v>700</v>
      </c>
      <c r="R126" s="169">
        <f>SUM(R127:R129)</f>
        <v>0</v>
      </c>
      <c r="S126" s="89">
        <f t="shared" si="39"/>
        <v>0</v>
      </c>
      <c r="T126" s="216">
        <f t="shared" si="40"/>
        <v>0</v>
      </c>
      <c r="U126" s="144">
        <f>SUM(U127:U129)</f>
        <v>0</v>
      </c>
      <c r="V126" s="145">
        <f t="shared" ref="V126:AC126" si="71">SUM(V127:V129)</f>
        <v>0</v>
      </c>
      <c r="W126" s="145">
        <f t="shared" si="71"/>
        <v>0</v>
      </c>
      <c r="X126" s="145">
        <f t="shared" si="71"/>
        <v>0</v>
      </c>
      <c r="Y126" s="145">
        <f t="shared" si="71"/>
        <v>0</v>
      </c>
      <c r="Z126" s="145">
        <f t="shared" si="71"/>
        <v>0</v>
      </c>
      <c r="AA126" s="145">
        <f t="shared" si="71"/>
        <v>0</v>
      </c>
      <c r="AB126" s="145">
        <f t="shared" si="71"/>
        <v>0</v>
      </c>
      <c r="AC126" s="146">
        <f t="shared" si="71"/>
        <v>0</v>
      </c>
      <c r="AD126" s="33">
        <v>500</v>
      </c>
      <c r="AE126" s="33">
        <f>860-225</f>
        <v>635</v>
      </c>
      <c r="AF126" s="127">
        <f>AE126*100/AD126</f>
        <v>127</v>
      </c>
    </row>
    <row r="127" spans="1:32" outlineLevel="1" x14ac:dyDescent="0.25">
      <c r="A127" s="4" t="s">
        <v>560</v>
      </c>
      <c r="B127" s="75" t="s">
        <v>112</v>
      </c>
      <c r="C127" s="25" t="s">
        <v>107</v>
      </c>
      <c r="D127" s="92">
        <v>0</v>
      </c>
      <c r="E127" s="110">
        <v>0</v>
      </c>
      <c r="F127" s="93">
        <f>D127*E127</f>
        <v>0</v>
      </c>
      <c r="G127" s="74">
        <f t="shared" si="43"/>
        <v>0</v>
      </c>
      <c r="H127" s="95">
        <f t="shared" si="69"/>
        <v>0</v>
      </c>
      <c r="I127" s="112">
        <v>0</v>
      </c>
      <c r="J127" s="57"/>
      <c r="K127" s="57"/>
      <c r="L127" s="57"/>
      <c r="M127" s="57"/>
      <c r="N127" s="57"/>
      <c r="O127" s="57"/>
      <c r="P127" s="68"/>
      <c r="Q127" s="58"/>
      <c r="R127" s="170">
        <f>P127*Q127</f>
        <v>0</v>
      </c>
      <c r="S127" s="89">
        <f t="shared" si="39"/>
        <v>0</v>
      </c>
      <c r="T127" s="216">
        <f t="shared" si="40"/>
        <v>0</v>
      </c>
      <c r="U127" s="147">
        <v>0</v>
      </c>
      <c r="V127" s="148"/>
      <c r="W127" s="148"/>
      <c r="X127" s="148"/>
      <c r="Y127" s="148"/>
      <c r="Z127" s="148"/>
      <c r="AA127" s="148"/>
      <c r="AB127" s="149"/>
      <c r="AC127" s="150"/>
      <c r="AD127" s="76"/>
      <c r="AE127" s="76"/>
      <c r="AF127" s="128"/>
    </row>
    <row r="128" spans="1:32" outlineLevel="1" x14ac:dyDescent="0.25">
      <c r="A128" s="4" t="s">
        <v>561</v>
      </c>
      <c r="B128" s="75" t="s">
        <v>113</v>
      </c>
      <c r="C128" s="25" t="s">
        <v>115</v>
      </c>
      <c r="D128" s="92">
        <v>1</v>
      </c>
      <c r="E128" s="110">
        <v>700</v>
      </c>
      <c r="F128" s="93">
        <f>D128*E128</f>
        <v>700</v>
      </c>
      <c r="G128" s="74">
        <f t="shared" si="43"/>
        <v>0</v>
      </c>
      <c r="H128" s="95">
        <f t="shared" si="69"/>
        <v>700</v>
      </c>
      <c r="I128" s="112">
        <v>0</v>
      </c>
      <c r="J128" s="57"/>
      <c r="K128" s="57"/>
      <c r="L128" s="57"/>
      <c r="M128" s="57"/>
      <c r="N128" s="57"/>
      <c r="O128" s="57"/>
      <c r="P128" s="68"/>
      <c r="Q128" s="58">
        <f>F128</f>
        <v>700</v>
      </c>
      <c r="R128" s="170">
        <f>P128*Q128</f>
        <v>0</v>
      </c>
      <c r="S128" s="89">
        <f t="shared" si="39"/>
        <v>0</v>
      </c>
      <c r="T128" s="216">
        <f t="shared" si="40"/>
        <v>0</v>
      </c>
      <c r="U128" s="147">
        <v>0</v>
      </c>
      <c r="V128" s="148"/>
      <c r="W128" s="148"/>
      <c r="X128" s="148"/>
      <c r="Y128" s="148"/>
      <c r="Z128" s="148"/>
      <c r="AA128" s="148"/>
      <c r="AB128" s="149"/>
      <c r="AC128" s="150">
        <f>O128</f>
        <v>0</v>
      </c>
      <c r="AD128" s="76"/>
      <c r="AE128" s="76"/>
      <c r="AF128" s="128"/>
    </row>
    <row r="129" spans="1:32" outlineLevel="1" x14ac:dyDescent="0.25">
      <c r="A129" s="4" t="s">
        <v>562</v>
      </c>
      <c r="B129" s="75" t="s">
        <v>114</v>
      </c>
      <c r="C129" s="25"/>
      <c r="D129" s="92">
        <v>0</v>
      </c>
      <c r="E129" s="110">
        <v>0</v>
      </c>
      <c r="F129" s="93">
        <f>D129*E129</f>
        <v>0</v>
      </c>
      <c r="G129" s="74">
        <f t="shared" si="43"/>
        <v>0</v>
      </c>
      <c r="H129" s="95">
        <f t="shared" si="69"/>
        <v>0</v>
      </c>
      <c r="I129" s="112">
        <v>0</v>
      </c>
      <c r="J129" s="57"/>
      <c r="K129" s="57"/>
      <c r="L129" s="57"/>
      <c r="M129" s="57"/>
      <c r="N129" s="57"/>
      <c r="O129" s="57"/>
      <c r="P129" s="68"/>
      <c r="Q129" s="58">
        <f>F129</f>
        <v>0</v>
      </c>
      <c r="R129" s="170">
        <f>P129*Q129</f>
        <v>0</v>
      </c>
      <c r="S129" s="89">
        <f t="shared" si="39"/>
        <v>0</v>
      </c>
      <c r="T129" s="216">
        <f t="shared" si="40"/>
        <v>0</v>
      </c>
      <c r="U129" s="147">
        <v>0</v>
      </c>
      <c r="V129" s="148"/>
      <c r="W129" s="148"/>
      <c r="X129" s="148"/>
      <c r="Y129" s="148"/>
      <c r="Z129" s="148"/>
      <c r="AA129" s="148"/>
      <c r="AB129" s="149"/>
      <c r="AC129" s="150">
        <f>O129</f>
        <v>0</v>
      </c>
      <c r="AD129" s="76"/>
      <c r="AE129" s="76"/>
      <c r="AF129" s="128"/>
    </row>
    <row r="130" spans="1:32" s="3" customFormat="1" ht="15.75" x14ac:dyDescent="0.25">
      <c r="A130" s="7" t="s">
        <v>559</v>
      </c>
      <c r="B130" s="13" t="s">
        <v>48</v>
      </c>
      <c r="C130" s="23"/>
      <c r="D130" s="24"/>
      <c r="E130" s="17"/>
      <c r="F130" s="82">
        <f>SUM(F131:F140)</f>
        <v>1750</v>
      </c>
      <c r="G130" s="89">
        <f t="shared" si="43"/>
        <v>0</v>
      </c>
      <c r="H130" s="18">
        <f t="shared" si="69"/>
        <v>1750</v>
      </c>
      <c r="I130" s="54">
        <f t="shared" ref="I130:Q130" si="72">SUM(I131:I140)</f>
        <v>1750</v>
      </c>
      <c r="J130" s="55">
        <f t="shared" si="72"/>
        <v>0</v>
      </c>
      <c r="K130" s="55">
        <f t="shared" si="72"/>
        <v>0</v>
      </c>
      <c r="L130" s="55">
        <f t="shared" si="72"/>
        <v>0</v>
      </c>
      <c r="M130" s="55">
        <f t="shared" si="72"/>
        <v>0</v>
      </c>
      <c r="N130" s="55">
        <f t="shared" si="72"/>
        <v>0</v>
      </c>
      <c r="O130" s="55">
        <f t="shared" si="72"/>
        <v>0</v>
      </c>
      <c r="P130" s="55">
        <f t="shared" si="72"/>
        <v>0</v>
      </c>
      <c r="Q130" s="56">
        <f t="shared" si="72"/>
        <v>0</v>
      </c>
      <c r="R130" s="169">
        <f>SUM(R131:R140)</f>
        <v>0</v>
      </c>
      <c r="S130" s="89">
        <f t="shared" si="39"/>
        <v>0</v>
      </c>
      <c r="T130" s="216">
        <f t="shared" si="40"/>
        <v>0</v>
      </c>
      <c r="U130" s="144">
        <f>SUM(U131:U140)</f>
        <v>0</v>
      </c>
      <c r="V130" s="145">
        <f t="shared" ref="V130:AC130" si="73">SUM(V131:V140)</f>
        <v>0</v>
      </c>
      <c r="W130" s="145">
        <f t="shared" si="73"/>
        <v>0</v>
      </c>
      <c r="X130" s="145">
        <f t="shared" si="73"/>
        <v>0</v>
      </c>
      <c r="Y130" s="145">
        <f t="shared" si="73"/>
        <v>0</v>
      </c>
      <c r="Z130" s="145">
        <f t="shared" si="73"/>
        <v>0</v>
      </c>
      <c r="AA130" s="145">
        <f t="shared" si="73"/>
        <v>0</v>
      </c>
      <c r="AB130" s="145">
        <f t="shared" si="73"/>
        <v>0</v>
      </c>
      <c r="AC130" s="146">
        <f t="shared" si="73"/>
        <v>0</v>
      </c>
      <c r="AD130" s="33">
        <v>750</v>
      </c>
      <c r="AE130" s="33">
        <v>800</v>
      </c>
      <c r="AF130" s="127">
        <f>AE130*100/AD130</f>
        <v>106.66666666666667</v>
      </c>
    </row>
    <row r="131" spans="1:32" outlineLevel="1" x14ac:dyDescent="0.25">
      <c r="A131" s="4" t="s">
        <v>560</v>
      </c>
      <c r="B131" s="75" t="s">
        <v>49</v>
      </c>
      <c r="C131" s="25" t="s">
        <v>976</v>
      </c>
      <c r="D131" s="92">
        <v>1</v>
      </c>
      <c r="E131" s="110">
        <v>400</v>
      </c>
      <c r="F131" s="93">
        <f t="shared" ref="F131:F140" si="74">D131*E131</f>
        <v>400</v>
      </c>
      <c r="G131" s="74">
        <f t="shared" si="43"/>
        <v>0</v>
      </c>
      <c r="H131" s="95">
        <f t="shared" si="69"/>
        <v>400</v>
      </c>
      <c r="I131" s="112">
        <f>F131</f>
        <v>400</v>
      </c>
      <c r="J131" s="57"/>
      <c r="K131" s="57"/>
      <c r="L131" s="57"/>
      <c r="M131" s="57"/>
      <c r="N131" s="57"/>
      <c r="O131" s="57"/>
      <c r="P131" s="68"/>
      <c r="Q131" s="58"/>
      <c r="R131" s="170">
        <f t="shared" ref="R131:R140" si="75">P131*Q131</f>
        <v>0</v>
      </c>
      <c r="S131" s="89">
        <f t="shared" si="39"/>
        <v>0</v>
      </c>
      <c r="T131" s="216">
        <f t="shared" si="40"/>
        <v>0</v>
      </c>
      <c r="U131" s="147">
        <f t="shared" ref="U131:U140" si="76">Q131</f>
        <v>0</v>
      </c>
      <c r="V131" s="148"/>
      <c r="W131" s="148"/>
      <c r="X131" s="148"/>
      <c r="Y131" s="148"/>
      <c r="Z131" s="148"/>
      <c r="AA131" s="148"/>
      <c r="AB131" s="149"/>
      <c r="AC131" s="150"/>
      <c r="AD131" s="76"/>
      <c r="AE131" s="76"/>
      <c r="AF131" s="128"/>
    </row>
    <row r="132" spans="1:32" outlineLevel="1" x14ac:dyDescent="0.25">
      <c r="A132" s="4" t="s">
        <v>561</v>
      </c>
      <c r="B132" s="75" t="s">
        <v>55</v>
      </c>
      <c r="C132" s="25"/>
      <c r="D132" s="92">
        <v>1</v>
      </c>
      <c r="E132" s="110">
        <v>150</v>
      </c>
      <c r="F132" s="93">
        <f t="shared" si="74"/>
        <v>150</v>
      </c>
      <c r="G132" s="74">
        <f t="shared" si="43"/>
        <v>0</v>
      </c>
      <c r="H132" s="95">
        <f t="shared" si="69"/>
        <v>150</v>
      </c>
      <c r="I132" s="112">
        <f t="shared" ref="I132:I140" si="77">F132</f>
        <v>150</v>
      </c>
      <c r="J132" s="57"/>
      <c r="K132" s="57"/>
      <c r="L132" s="57"/>
      <c r="M132" s="57"/>
      <c r="N132" s="57"/>
      <c r="O132" s="57"/>
      <c r="P132" s="68"/>
      <c r="Q132" s="58"/>
      <c r="R132" s="170">
        <f t="shared" si="75"/>
        <v>0</v>
      </c>
      <c r="S132" s="89">
        <f t="shared" si="39"/>
        <v>0</v>
      </c>
      <c r="T132" s="216">
        <f t="shared" si="40"/>
        <v>0</v>
      </c>
      <c r="U132" s="147">
        <f t="shared" si="76"/>
        <v>0</v>
      </c>
      <c r="V132" s="148"/>
      <c r="W132" s="148"/>
      <c r="X132" s="148"/>
      <c r="Y132" s="148"/>
      <c r="Z132" s="148"/>
      <c r="AA132" s="148"/>
      <c r="AB132" s="149"/>
      <c r="AC132" s="150"/>
      <c r="AD132" s="76"/>
      <c r="AE132" s="76"/>
      <c r="AF132" s="128"/>
    </row>
    <row r="133" spans="1:32" outlineLevel="1" x14ac:dyDescent="0.25">
      <c r="A133" s="4" t="s">
        <v>562</v>
      </c>
      <c r="B133" s="75" t="s">
        <v>581</v>
      </c>
      <c r="C133" s="25"/>
      <c r="D133" s="92">
        <v>1</v>
      </c>
      <c r="E133" s="110">
        <v>150</v>
      </c>
      <c r="F133" s="93">
        <f t="shared" si="74"/>
        <v>150</v>
      </c>
      <c r="G133" s="74">
        <f t="shared" si="43"/>
        <v>0</v>
      </c>
      <c r="H133" s="95">
        <f t="shared" si="69"/>
        <v>150</v>
      </c>
      <c r="I133" s="112">
        <f t="shared" si="77"/>
        <v>150</v>
      </c>
      <c r="J133" s="57"/>
      <c r="K133" s="57"/>
      <c r="L133" s="57"/>
      <c r="M133" s="57"/>
      <c r="N133" s="57"/>
      <c r="O133" s="57"/>
      <c r="P133" s="68"/>
      <c r="Q133" s="58"/>
      <c r="R133" s="170">
        <f t="shared" si="75"/>
        <v>0</v>
      </c>
      <c r="S133" s="89">
        <f t="shared" ref="S133:S196" si="78">T133-R133</f>
        <v>0</v>
      </c>
      <c r="T133" s="216">
        <f t="shared" ref="T133:T196" si="79">+U133+V133+W133+X133+Y133+Z133+AA133+AB133+AC133</f>
        <v>0</v>
      </c>
      <c r="U133" s="147">
        <f t="shared" si="76"/>
        <v>0</v>
      </c>
      <c r="V133" s="148"/>
      <c r="W133" s="148"/>
      <c r="X133" s="148"/>
      <c r="Y133" s="148"/>
      <c r="Z133" s="148"/>
      <c r="AA133" s="148"/>
      <c r="AB133" s="149"/>
      <c r="AC133" s="150"/>
      <c r="AD133" s="76"/>
      <c r="AE133" s="76"/>
      <c r="AF133" s="128"/>
    </row>
    <row r="134" spans="1:32" outlineLevel="1" x14ac:dyDescent="0.25">
      <c r="A134" s="4" t="s">
        <v>563</v>
      </c>
      <c r="B134" s="75" t="s">
        <v>582</v>
      </c>
      <c r="C134" s="25"/>
      <c r="D134" s="92">
        <v>1</v>
      </c>
      <c r="E134" s="110">
        <v>150</v>
      </c>
      <c r="F134" s="93">
        <f t="shared" si="74"/>
        <v>150</v>
      </c>
      <c r="G134" s="74">
        <f t="shared" si="43"/>
        <v>0</v>
      </c>
      <c r="H134" s="95">
        <f t="shared" si="69"/>
        <v>150</v>
      </c>
      <c r="I134" s="112">
        <f t="shared" si="77"/>
        <v>150</v>
      </c>
      <c r="J134" s="57"/>
      <c r="K134" s="57"/>
      <c r="L134" s="57"/>
      <c r="M134" s="57"/>
      <c r="N134" s="57"/>
      <c r="O134" s="57"/>
      <c r="P134" s="68"/>
      <c r="Q134" s="58"/>
      <c r="R134" s="170">
        <f t="shared" si="75"/>
        <v>0</v>
      </c>
      <c r="S134" s="89">
        <f t="shared" si="78"/>
        <v>0</v>
      </c>
      <c r="T134" s="216">
        <f t="shared" si="79"/>
        <v>0</v>
      </c>
      <c r="U134" s="147">
        <f t="shared" si="76"/>
        <v>0</v>
      </c>
      <c r="V134" s="148"/>
      <c r="W134" s="148"/>
      <c r="X134" s="148"/>
      <c r="Y134" s="148"/>
      <c r="Z134" s="148"/>
      <c r="AA134" s="148"/>
      <c r="AB134" s="149"/>
      <c r="AC134" s="150"/>
      <c r="AD134" s="76"/>
      <c r="AE134" s="76"/>
      <c r="AF134" s="128"/>
    </row>
    <row r="135" spans="1:32" outlineLevel="1" x14ac:dyDescent="0.25">
      <c r="A135" s="4" t="s">
        <v>564</v>
      </c>
      <c r="B135" s="75" t="s">
        <v>50</v>
      </c>
      <c r="C135" s="25"/>
      <c r="D135" s="92">
        <v>1</v>
      </c>
      <c r="E135" s="110">
        <v>150</v>
      </c>
      <c r="F135" s="93">
        <f t="shared" si="74"/>
        <v>150</v>
      </c>
      <c r="G135" s="74">
        <f t="shared" si="43"/>
        <v>0</v>
      </c>
      <c r="H135" s="95">
        <f t="shared" si="69"/>
        <v>150</v>
      </c>
      <c r="I135" s="112">
        <f t="shared" si="77"/>
        <v>150</v>
      </c>
      <c r="J135" s="57"/>
      <c r="K135" s="57"/>
      <c r="L135" s="57"/>
      <c r="M135" s="57"/>
      <c r="N135" s="57"/>
      <c r="O135" s="57"/>
      <c r="P135" s="68"/>
      <c r="Q135" s="58"/>
      <c r="R135" s="170">
        <f t="shared" si="75"/>
        <v>0</v>
      </c>
      <c r="S135" s="89">
        <f t="shared" si="78"/>
        <v>0</v>
      </c>
      <c r="T135" s="216">
        <f t="shared" si="79"/>
        <v>0</v>
      </c>
      <c r="U135" s="147">
        <f t="shared" si="76"/>
        <v>0</v>
      </c>
      <c r="V135" s="148"/>
      <c r="W135" s="148"/>
      <c r="X135" s="148"/>
      <c r="Y135" s="148"/>
      <c r="Z135" s="148"/>
      <c r="AA135" s="148"/>
      <c r="AB135" s="149"/>
      <c r="AC135" s="150"/>
      <c r="AD135" s="76"/>
      <c r="AE135" s="76"/>
      <c r="AF135" s="128"/>
    </row>
    <row r="136" spans="1:32" outlineLevel="1" x14ac:dyDescent="0.25">
      <c r="A136" s="4" t="s">
        <v>565</v>
      </c>
      <c r="B136" s="75" t="s">
        <v>51</v>
      </c>
      <c r="C136" s="25"/>
      <c r="D136" s="92">
        <v>1</v>
      </c>
      <c r="E136" s="110">
        <v>150</v>
      </c>
      <c r="F136" s="93">
        <f t="shared" si="74"/>
        <v>150</v>
      </c>
      <c r="G136" s="74">
        <f t="shared" si="43"/>
        <v>0</v>
      </c>
      <c r="H136" s="95">
        <f t="shared" si="69"/>
        <v>150</v>
      </c>
      <c r="I136" s="112">
        <f t="shared" si="77"/>
        <v>150</v>
      </c>
      <c r="J136" s="57"/>
      <c r="K136" s="57"/>
      <c r="L136" s="57"/>
      <c r="M136" s="57"/>
      <c r="N136" s="57"/>
      <c r="O136" s="57"/>
      <c r="P136" s="68"/>
      <c r="Q136" s="58"/>
      <c r="R136" s="170">
        <f t="shared" si="75"/>
        <v>0</v>
      </c>
      <c r="S136" s="89">
        <f t="shared" si="78"/>
        <v>0</v>
      </c>
      <c r="T136" s="216">
        <f t="shared" si="79"/>
        <v>0</v>
      </c>
      <c r="U136" s="147">
        <f t="shared" si="76"/>
        <v>0</v>
      </c>
      <c r="V136" s="148"/>
      <c r="W136" s="148"/>
      <c r="X136" s="148"/>
      <c r="Y136" s="148"/>
      <c r="Z136" s="148"/>
      <c r="AA136" s="148"/>
      <c r="AB136" s="149"/>
      <c r="AC136" s="150"/>
      <c r="AD136" s="76"/>
      <c r="AE136" s="76"/>
      <c r="AF136" s="128"/>
    </row>
    <row r="137" spans="1:32" outlineLevel="1" x14ac:dyDescent="0.25">
      <c r="A137" s="4" t="s">
        <v>566</v>
      </c>
      <c r="B137" s="75" t="s">
        <v>52</v>
      </c>
      <c r="C137" s="25"/>
      <c r="D137" s="92">
        <v>1</v>
      </c>
      <c r="E137" s="110">
        <v>150</v>
      </c>
      <c r="F137" s="93">
        <f t="shared" si="74"/>
        <v>150</v>
      </c>
      <c r="G137" s="74">
        <f t="shared" si="43"/>
        <v>0</v>
      </c>
      <c r="H137" s="95">
        <f t="shared" si="69"/>
        <v>150</v>
      </c>
      <c r="I137" s="112">
        <f t="shared" si="77"/>
        <v>150</v>
      </c>
      <c r="J137" s="57"/>
      <c r="K137" s="57"/>
      <c r="L137" s="57"/>
      <c r="M137" s="57"/>
      <c r="N137" s="57"/>
      <c r="O137" s="57"/>
      <c r="P137" s="68"/>
      <c r="Q137" s="58"/>
      <c r="R137" s="170">
        <f t="shared" si="75"/>
        <v>0</v>
      </c>
      <c r="S137" s="89">
        <f t="shared" si="78"/>
        <v>0</v>
      </c>
      <c r="T137" s="216">
        <f t="shared" si="79"/>
        <v>0</v>
      </c>
      <c r="U137" s="147">
        <f t="shared" si="76"/>
        <v>0</v>
      </c>
      <c r="V137" s="148"/>
      <c r="W137" s="148"/>
      <c r="X137" s="148"/>
      <c r="Y137" s="148"/>
      <c r="Z137" s="148"/>
      <c r="AA137" s="148"/>
      <c r="AB137" s="149"/>
      <c r="AC137" s="150"/>
      <c r="AD137" s="76"/>
      <c r="AE137" s="76"/>
      <c r="AF137" s="128"/>
    </row>
    <row r="138" spans="1:32" outlineLevel="1" x14ac:dyDescent="0.25">
      <c r="A138" s="4" t="s">
        <v>567</v>
      </c>
      <c r="B138" s="75" t="s">
        <v>53</v>
      </c>
      <c r="C138" s="25"/>
      <c r="D138" s="92">
        <v>1</v>
      </c>
      <c r="E138" s="110">
        <v>150</v>
      </c>
      <c r="F138" s="93">
        <f t="shared" si="74"/>
        <v>150</v>
      </c>
      <c r="G138" s="74">
        <f t="shared" si="43"/>
        <v>0</v>
      </c>
      <c r="H138" s="95">
        <f t="shared" si="69"/>
        <v>150</v>
      </c>
      <c r="I138" s="112">
        <f t="shared" si="77"/>
        <v>150</v>
      </c>
      <c r="J138" s="57"/>
      <c r="K138" s="57"/>
      <c r="L138" s="57"/>
      <c r="M138" s="57"/>
      <c r="N138" s="57"/>
      <c r="O138" s="57"/>
      <c r="P138" s="68"/>
      <c r="Q138" s="58"/>
      <c r="R138" s="170">
        <f t="shared" si="75"/>
        <v>0</v>
      </c>
      <c r="S138" s="89">
        <f t="shared" si="78"/>
        <v>0</v>
      </c>
      <c r="T138" s="216">
        <f t="shared" si="79"/>
        <v>0</v>
      </c>
      <c r="U138" s="147">
        <f t="shared" si="76"/>
        <v>0</v>
      </c>
      <c r="V138" s="148"/>
      <c r="W138" s="148"/>
      <c r="X138" s="148"/>
      <c r="Y138" s="148"/>
      <c r="Z138" s="148"/>
      <c r="AA138" s="148"/>
      <c r="AB138" s="149"/>
      <c r="AC138" s="150"/>
      <c r="AD138" s="76"/>
      <c r="AE138" s="76"/>
      <c r="AF138" s="128"/>
    </row>
    <row r="139" spans="1:32" outlineLevel="1" x14ac:dyDescent="0.25">
      <c r="A139" s="4" t="s">
        <v>583</v>
      </c>
      <c r="B139" s="75" t="s">
        <v>54</v>
      </c>
      <c r="C139" s="25"/>
      <c r="D139" s="92">
        <v>1</v>
      </c>
      <c r="E139" s="110">
        <v>150</v>
      </c>
      <c r="F139" s="93">
        <f t="shared" si="74"/>
        <v>150</v>
      </c>
      <c r="G139" s="74">
        <f t="shared" si="43"/>
        <v>0</v>
      </c>
      <c r="H139" s="95">
        <f t="shared" si="69"/>
        <v>150</v>
      </c>
      <c r="I139" s="112">
        <f t="shared" si="77"/>
        <v>150</v>
      </c>
      <c r="J139" s="57"/>
      <c r="K139" s="57"/>
      <c r="L139" s="57"/>
      <c r="M139" s="57"/>
      <c r="N139" s="57"/>
      <c r="O139" s="57"/>
      <c r="P139" s="68"/>
      <c r="Q139" s="58"/>
      <c r="R139" s="170">
        <f t="shared" si="75"/>
        <v>0</v>
      </c>
      <c r="S139" s="89">
        <f t="shared" si="78"/>
        <v>0</v>
      </c>
      <c r="T139" s="216">
        <f t="shared" si="79"/>
        <v>0</v>
      </c>
      <c r="U139" s="147">
        <f t="shared" si="76"/>
        <v>0</v>
      </c>
      <c r="V139" s="148"/>
      <c r="W139" s="148"/>
      <c r="X139" s="148"/>
      <c r="Y139" s="148"/>
      <c r="Z139" s="148"/>
      <c r="AA139" s="148"/>
      <c r="AB139" s="149"/>
      <c r="AC139" s="150"/>
      <c r="AD139" s="76"/>
      <c r="AE139" s="76"/>
      <c r="AF139" s="128"/>
    </row>
    <row r="140" spans="1:32" outlineLevel="1" x14ac:dyDescent="0.25">
      <c r="A140" s="4" t="s">
        <v>584</v>
      </c>
      <c r="B140" s="75" t="s">
        <v>86</v>
      </c>
      <c r="C140" s="25"/>
      <c r="D140" s="92">
        <v>1</v>
      </c>
      <c r="E140" s="110">
        <v>150</v>
      </c>
      <c r="F140" s="93">
        <f t="shared" si="74"/>
        <v>150</v>
      </c>
      <c r="G140" s="74">
        <f t="shared" si="43"/>
        <v>0</v>
      </c>
      <c r="H140" s="95">
        <f t="shared" si="69"/>
        <v>150</v>
      </c>
      <c r="I140" s="112">
        <f t="shared" si="77"/>
        <v>150</v>
      </c>
      <c r="J140" s="57"/>
      <c r="K140" s="57"/>
      <c r="L140" s="57"/>
      <c r="M140" s="57"/>
      <c r="N140" s="57"/>
      <c r="O140" s="57"/>
      <c r="P140" s="68"/>
      <c r="Q140" s="58"/>
      <c r="R140" s="170">
        <f t="shared" si="75"/>
        <v>0</v>
      </c>
      <c r="S140" s="89">
        <f t="shared" si="78"/>
        <v>0</v>
      </c>
      <c r="T140" s="216">
        <f t="shared" si="79"/>
        <v>0</v>
      </c>
      <c r="U140" s="147">
        <f t="shared" si="76"/>
        <v>0</v>
      </c>
      <c r="V140" s="148"/>
      <c r="W140" s="148"/>
      <c r="X140" s="148"/>
      <c r="Y140" s="148"/>
      <c r="Z140" s="148"/>
      <c r="AA140" s="148"/>
      <c r="AB140" s="149"/>
      <c r="AC140" s="150"/>
      <c r="AD140" s="76"/>
      <c r="AE140" s="76"/>
      <c r="AF140" s="128"/>
    </row>
    <row r="141" spans="1:32" s="3" customFormat="1" ht="15.75" x14ac:dyDescent="0.25">
      <c r="A141" s="7" t="s">
        <v>568</v>
      </c>
      <c r="B141" s="13" t="s">
        <v>56</v>
      </c>
      <c r="C141" s="23"/>
      <c r="D141" s="24"/>
      <c r="E141" s="17"/>
      <c r="F141" s="82">
        <f>SUM(F142:F145)</f>
        <v>2000</v>
      </c>
      <c r="G141" s="89">
        <f t="shared" si="43"/>
        <v>0</v>
      </c>
      <c r="H141" s="18">
        <f t="shared" si="69"/>
        <v>2000</v>
      </c>
      <c r="I141" s="54">
        <f>SUM(I142:I145)</f>
        <v>2000</v>
      </c>
      <c r="J141" s="55">
        <f t="shared" ref="J141:Q141" si="80">SUM(J142:J145)</f>
        <v>0</v>
      </c>
      <c r="K141" s="55">
        <f t="shared" si="80"/>
        <v>0</v>
      </c>
      <c r="L141" s="55">
        <f t="shared" si="80"/>
        <v>0</v>
      </c>
      <c r="M141" s="55">
        <f t="shared" si="80"/>
        <v>0</v>
      </c>
      <c r="N141" s="55">
        <f t="shared" si="80"/>
        <v>0</v>
      </c>
      <c r="O141" s="55">
        <f t="shared" si="80"/>
        <v>0</v>
      </c>
      <c r="P141" s="55">
        <f t="shared" si="80"/>
        <v>0</v>
      </c>
      <c r="Q141" s="56">
        <f t="shared" si="80"/>
        <v>0</v>
      </c>
      <c r="R141" s="169">
        <f>SUM(R142:R145)</f>
        <v>0</v>
      </c>
      <c r="S141" s="89">
        <f t="shared" si="78"/>
        <v>0</v>
      </c>
      <c r="T141" s="216">
        <f t="shared" si="79"/>
        <v>0</v>
      </c>
      <c r="U141" s="144">
        <f>SUM(U142:U145)</f>
        <v>0</v>
      </c>
      <c r="V141" s="145">
        <f t="shared" ref="V141:AC141" si="81">SUM(V142:V145)</f>
        <v>0</v>
      </c>
      <c r="W141" s="145">
        <f t="shared" si="81"/>
        <v>0</v>
      </c>
      <c r="X141" s="145">
        <f t="shared" si="81"/>
        <v>0</v>
      </c>
      <c r="Y141" s="145">
        <f t="shared" si="81"/>
        <v>0</v>
      </c>
      <c r="Z141" s="145">
        <f t="shared" si="81"/>
        <v>0</v>
      </c>
      <c r="AA141" s="145">
        <f t="shared" si="81"/>
        <v>0</v>
      </c>
      <c r="AB141" s="145">
        <f t="shared" si="81"/>
        <v>0</v>
      </c>
      <c r="AC141" s="146">
        <f t="shared" si="81"/>
        <v>0</v>
      </c>
      <c r="AD141" s="33">
        <v>250</v>
      </c>
      <c r="AE141" s="33">
        <f>SUM(AE142:AE145)</f>
        <v>0</v>
      </c>
      <c r="AF141" s="127">
        <f>AE141*100/AD141</f>
        <v>0</v>
      </c>
    </row>
    <row r="142" spans="1:32" outlineLevel="1" x14ac:dyDescent="0.25">
      <c r="A142" s="4" t="s">
        <v>569</v>
      </c>
      <c r="B142" s="75" t="s">
        <v>58</v>
      </c>
      <c r="C142" s="25"/>
      <c r="D142" s="92">
        <v>1</v>
      </c>
      <c r="E142" s="110">
        <v>1000</v>
      </c>
      <c r="F142" s="93">
        <f>D142*E142</f>
        <v>1000</v>
      </c>
      <c r="G142" s="74">
        <f t="shared" si="43"/>
        <v>0</v>
      </c>
      <c r="H142" s="95">
        <f t="shared" si="69"/>
        <v>1000</v>
      </c>
      <c r="I142" s="112">
        <f>F142</f>
        <v>1000</v>
      </c>
      <c r="J142" s="57"/>
      <c r="K142" s="57"/>
      <c r="L142" s="57"/>
      <c r="M142" s="57"/>
      <c r="N142" s="57"/>
      <c r="O142" s="57"/>
      <c r="P142" s="68"/>
      <c r="Q142" s="58"/>
      <c r="R142" s="170">
        <f>P142*Q142</f>
        <v>0</v>
      </c>
      <c r="S142" s="89">
        <f t="shared" si="78"/>
        <v>0</v>
      </c>
      <c r="T142" s="216">
        <f t="shared" si="79"/>
        <v>0</v>
      </c>
      <c r="U142" s="147">
        <f>Q142</f>
        <v>0</v>
      </c>
      <c r="V142" s="148"/>
      <c r="W142" s="148"/>
      <c r="X142" s="148"/>
      <c r="Y142" s="148"/>
      <c r="Z142" s="148"/>
      <c r="AA142" s="148"/>
      <c r="AB142" s="149"/>
      <c r="AC142" s="150"/>
      <c r="AD142" s="76"/>
      <c r="AE142" s="76"/>
      <c r="AF142" s="128"/>
    </row>
    <row r="143" spans="1:32" outlineLevel="1" x14ac:dyDescent="0.25">
      <c r="A143" s="4" t="s">
        <v>570</v>
      </c>
      <c r="B143" s="75" t="s">
        <v>57</v>
      </c>
      <c r="C143" s="25"/>
      <c r="D143" s="92">
        <v>1</v>
      </c>
      <c r="E143" s="110">
        <v>500</v>
      </c>
      <c r="F143" s="93">
        <f>D143*E143</f>
        <v>500</v>
      </c>
      <c r="G143" s="74">
        <f t="shared" ref="G143:G207" si="82">H143-F143</f>
        <v>0</v>
      </c>
      <c r="H143" s="95">
        <f t="shared" si="69"/>
        <v>500</v>
      </c>
      <c r="I143" s="112">
        <f>F143</f>
        <v>500</v>
      </c>
      <c r="J143" s="57"/>
      <c r="K143" s="57"/>
      <c r="L143" s="57"/>
      <c r="M143" s="57"/>
      <c r="N143" s="57"/>
      <c r="O143" s="57"/>
      <c r="P143" s="68"/>
      <c r="Q143" s="58"/>
      <c r="R143" s="170">
        <f>P143*Q143</f>
        <v>0</v>
      </c>
      <c r="S143" s="89">
        <f t="shared" si="78"/>
        <v>0</v>
      </c>
      <c r="T143" s="216">
        <f t="shared" si="79"/>
        <v>0</v>
      </c>
      <c r="U143" s="147">
        <f>Q143</f>
        <v>0</v>
      </c>
      <c r="V143" s="148"/>
      <c r="W143" s="148"/>
      <c r="X143" s="148"/>
      <c r="Y143" s="148"/>
      <c r="Z143" s="148"/>
      <c r="AA143" s="148"/>
      <c r="AB143" s="149"/>
      <c r="AC143" s="150"/>
      <c r="AD143" s="76"/>
      <c r="AE143" s="76"/>
      <c r="AF143" s="128"/>
    </row>
    <row r="144" spans="1:32" outlineLevel="1" x14ac:dyDescent="0.25">
      <c r="A144" s="4" t="s">
        <v>571</v>
      </c>
      <c r="B144" s="75" t="s">
        <v>59</v>
      </c>
      <c r="C144" s="25"/>
      <c r="D144" s="92">
        <v>1</v>
      </c>
      <c r="E144" s="110">
        <v>200</v>
      </c>
      <c r="F144" s="93">
        <f>D144*E144</f>
        <v>200</v>
      </c>
      <c r="G144" s="74">
        <f t="shared" si="82"/>
        <v>0</v>
      </c>
      <c r="H144" s="95">
        <f t="shared" si="69"/>
        <v>200</v>
      </c>
      <c r="I144" s="112">
        <f>F144</f>
        <v>200</v>
      </c>
      <c r="J144" s="57"/>
      <c r="K144" s="57"/>
      <c r="L144" s="57"/>
      <c r="M144" s="57"/>
      <c r="N144" s="57"/>
      <c r="O144" s="57"/>
      <c r="P144" s="68"/>
      <c r="Q144" s="58"/>
      <c r="R144" s="170">
        <f>P144*Q144</f>
        <v>0</v>
      </c>
      <c r="S144" s="89">
        <f t="shared" si="78"/>
        <v>0</v>
      </c>
      <c r="T144" s="216">
        <f t="shared" si="79"/>
        <v>0</v>
      </c>
      <c r="U144" s="147">
        <f>Q144</f>
        <v>0</v>
      </c>
      <c r="V144" s="148"/>
      <c r="W144" s="148"/>
      <c r="X144" s="148"/>
      <c r="Y144" s="148"/>
      <c r="Z144" s="148"/>
      <c r="AA144" s="148"/>
      <c r="AB144" s="149"/>
      <c r="AC144" s="150"/>
      <c r="AD144" s="76"/>
      <c r="AE144" s="76"/>
      <c r="AF144" s="128"/>
    </row>
    <row r="145" spans="1:32" outlineLevel="1" x14ac:dyDescent="0.25">
      <c r="A145" s="111" t="s">
        <v>572</v>
      </c>
      <c r="B145" s="26" t="s">
        <v>85</v>
      </c>
      <c r="C145" s="27"/>
      <c r="D145" s="92">
        <v>1</v>
      </c>
      <c r="E145" s="110">
        <v>300</v>
      </c>
      <c r="F145" s="93">
        <f>D145*E145</f>
        <v>300</v>
      </c>
      <c r="G145" s="117">
        <f t="shared" si="82"/>
        <v>0</v>
      </c>
      <c r="H145" s="95">
        <f t="shared" si="69"/>
        <v>300</v>
      </c>
      <c r="I145" s="112">
        <f>F145</f>
        <v>300</v>
      </c>
      <c r="J145" s="113"/>
      <c r="K145" s="113"/>
      <c r="L145" s="113"/>
      <c r="M145" s="113"/>
      <c r="N145" s="113"/>
      <c r="O145" s="113"/>
      <c r="P145" s="115"/>
      <c r="Q145" s="114"/>
      <c r="R145" s="170">
        <f>P145*Q145</f>
        <v>0</v>
      </c>
      <c r="S145" s="89">
        <f t="shared" si="78"/>
        <v>0</v>
      </c>
      <c r="T145" s="216">
        <f t="shared" si="79"/>
        <v>0</v>
      </c>
      <c r="U145" s="147">
        <f>Q145</f>
        <v>0</v>
      </c>
      <c r="V145" s="152"/>
      <c r="W145" s="152"/>
      <c r="X145" s="152"/>
      <c r="Y145" s="152"/>
      <c r="Z145" s="152"/>
      <c r="AA145" s="152"/>
      <c r="AB145" s="153"/>
      <c r="AC145" s="154"/>
      <c r="AD145" s="76"/>
      <c r="AE145" s="76"/>
      <c r="AF145" s="128"/>
    </row>
    <row r="146" spans="1:32" s="3" customFormat="1" ht="15.75" x14ac:dyDescent="0.25">
      <c r="A146" s="7" t="s">
        <v>573</v>
      </c>
      <c r="B146" s="13" t="s">
        <v>585</v>
      </c>
      <c r="C146" s="23"/>
      <c r="D146" s="24"/>
      <c r="E146" s="17"/>
      <c r="F146" s="82">
        <f>SUM(F147:F150)</f>
        <v>2450</v>
      </c>
      <c r="G146" s="89">
        <f t="shared" si="82"/>
        <v>0</v>
      </c>
      <c r="H146" s="18">
        <f t="shared" si="69"/>
        <v>2450</v>
      </c>
      <c r="I146" s="54">
        <f t="shared" ref="I146:Q146" si="83">SUM(I147:I150)</f>
        <v>2450</v>
      </c>
      <c r="J146" s="54">
        <f t="shared" si="83"/>
        <v>0</v>
      </c>
      <c r="K146" s="54">
        <f t="shared" si="83"/>
        <v>0</v>
      </c>
      <c r="L146" s="54">
        <f t="shared" si="83"/>
        <v>0</v>
      </c>
      <c r="M146" s="54">
        <f t="shared" si="83"/>
        <v>0</v>
      </c>
      <c r="N146" s="54">
        <f t="shared" si="83"/>
        <v>0</v>
      </c>
      <c r="O146" s="54">
        <f t="shared" si="83"/>
        <v>0</v>
      </c>
      <c r="P146" s="54">
        <f t="shared" si="83"/>
        <v>0</v>
      </c>
      <c r="Q146" s="60">
        <f t="shared" si="83"/>
        <v>0</v>
      </c>
      <c r="R146" s="169">
        <f>SUM(R147:R150)</f>
        <v>969.91</v>
      </c>
      <c r="S146" s="89">
        <f t="shared" si="78"/>
        <v>-969.91</v>
      </c>
      <c r="T146" s="216">
        <f t="shared" si="79"/>
        <v>0</v>
      </c>
      <c r="U146" s="144">
        <f>SUM(U147:U150)</f>
        <v>0</v>
      </c>
      <c r="V146" s="144">
        <f t="shared" ref="V146:AC146" si="84">SUM(V147:V150)</f>
        <v>0</v>
      </c>
      <c r="W146" s="144">
        <f t="shared" si="84"/>
        <v>0</v>
      </c>
      <c r="X146" s="144">
        <f t="shared" si="84"/>
        <v>0</v>
      </c>
      <c r="Y146" s="144">
        <f t="shared" si="84"/>
        <v>0</v>
      </c>
      <c r="Z146" s="144">
        <f t="shared" si="84"/>
        <v>0</v>
      </c>
      <c r="AA146" s="144">
        <f t="shared" si="84"/>
        <v>0</v>
      </c>
      <c r="AB146" s="144">
        <f t="shared" si="84"/>
        <v>0</v>
      </c>
      <c r="AC146" s="151">
        <f t="shared" si="84"/>
        <v>0</v>
      </c>
      <c r="AD146" s="33">
        <v>330</v>
      </c>
      <c r="AE146" s="33">
        <v>560</v>
      </c>
      <c r="AF146" s="127">
        <f>AE146*100/AD146</f>
        <v>169.69696969696969</v>
      </c>
    </row>
    <row r="147" spans="1:32" outlineLevel="1" x14ac:dyDescent="0.25">
      <c r="A147" s="4" t="s">
        <v>574</v>
      </c>
      <c r="B147" s="75" t="s">
        <v>87</v>
      </c>
      <c r="C147" s="25"/>
      <c r="D147" s="92">
        <v>1</v>
      </c>
      <c r="E147" s="110">
        <v>150</v>
      </c>
      <c r="F147" s="93">
        <f>D147*E147</f>
        <v>150</v>
      </c>
      <c r="G147" s="74">
        <f t="shared" si="82"/>
        <v>0</v>
      </c>
      <c r="H147" s="95">
        <f t="shared" si="69"/>
        <v>150</v>
      </c>
      <c r="I147" s="112">
        <f>F147</f>
        <v>150</v>
      </c>
      <c r="J147" s="57"/>
      <c r="K147" s="57"/>
      <c r="L147" s="57"/>
      <c r="M147" s="57"/>
      <c r="N147" s="57"/>
      <c r="O147" s="57"/>
      <c r="P147" s="68"/>
      <c r="Q147" s="58"/>
      <c r="R147" s="170">
        <v>171</v>
      </c>
      <c r="S147" s="89">
        <f t="shared" si="78"/>
        <v>-171</v>
      </c>
      <c r="T147" s="216">
        <f t="shared" si="79"/>
        <v>0</v>
      </c>
      <c r="U147" s="147">
        <f>Q147</f>
        <v>0</v>
      </c>
      <c r="V147" s="148"/>
      <c r="W147" s="148"/>
      <c r="X147" s="148"/>
      <c r="Y147" s="148"/>
      <c r="Z147" s="148"/>
      <c r="AA147" s="148"/>
      <c r="AB147" s="149"/>
      <c r="AC147" s="150"/>
      <c r="AD147" s="76"/>
      <c r="AE147" s="76"/>
      <c r="AF147" s="128"/>
    </row>
    <row r="148" spans="1:32" outlineLevel="1" x14ac:dyDescent="0.25">
      <c r="A148" s="111" t="s">
        <v>575</v>
      </c>
      <c r="B148" s="26" t="s">
        <v>83</v>
      </c>
      <c r="C148" s="27"/>
      <c r="D148" s="92">
        <v>1</v>
      </c>
      <c r="E148" s="110">
        <v>200</v>
      </c>
      <c r="F148" s="93">
        <f>D148*E148</f>
        <v>200</v>
      </c>
      <c r="G148" s="117">
        <f t="shared" si="82"/>
        <v>0</v>
      </c>
      <c r="H148" s="95">
        <f t="shared" si="69"/>
        <v>200</v>
      </c>
      <c r="I148" s="112">
        <f>F148</f>
        <v>200</v>
      </c>
      <c r="J148" s="113"/>
      <c r="K148" s="113"/>
      <c r="L148" s="113"/>
      <c r="M148" s="113"/>
      <c r="N148" s="113"/>
      <c r="O148" s="113"/>
      <c r="P148" s="115"/>
      <c r="Q148" s="114"/>
      <c r="R148" s="170">
        <f>P148*Q148</f>
        <v>0</v>
      </c>
      <c r="S148" s="89">
        <f t="shared" si="78"/>
        <v>0</v>
      </c>
      <c r="T148" s="216">
        <f t="shared" si="79"/>
        <v>0</v>
      </c>
      <c r="U148" s="147">
        <f>Q148</f>
        <v>0</v>
      </c>
      <c r="V148" s="152"/>
      <c r="W148" s="152"/>
      <c r="X148" s="152"/>
      <c r="Y148" s="152"/>
      <c r="Z148" s="152"/>
      <c r="AA148" s="152"/>
      <c r="AB148" s="153"/>
      <c r="AC148" s="154"/>
      <c r="AD148" s="116"/>
      <c r="AE148" s="116"/>
      <c r="AF148" s="129"/>
    </row>
    <row r="149" spans="1:32" outlineLevel="1" x14ac:dyDescent="0.25">
      <c r="A149" s="111" t="s">
        <v>576</v>
      </c>
      <c r="B149" s="26" t="s">
        <v>994</v>
      </c>
      <c r="C149" s="27"/>
      <c r="D149" s="92">
        <v>1</v>
      </c>
      <c r="E149" s="110">
        <v>2000</v>
      </c>
      <c r="F149" s="93">
        <f>D149*E149</f>
        <v>2000</v>
      </c>
      <c r="G149" s="117">
        <f t="shared" si="82"/>
        <v>0</v>
      </c>
      <c r="H149" s="95">
        <f t="shared" si="69"/>
        <v>2000</v>
      </c>
      <c r="I149" s="112">
        <f>F149</f>
        <v>2000</v>
      </c>
      <c r="J149" s="113"/>
      <c r="K149" s="113"/>
      <c r="L149" s="113"/>
      <c r="M149" s="113"/>
      <c r="N149" s="113"/>
      <c r="O149" s="113"/>
      <c r="P149" s="115"/>
      <c r="Q149" s="114"/>
      <c r="R149" s="170">
        <v>86.62</v>
      </c>
      <c r="S149" s="89">
        <f t="shared" si="78"/>
        <v>-86.62</v>
      </c>
      <c r="T149" s="216">
        <f t="shared" si="79"/>
        <v>0</v>
      </c>
      <c r="U149" s="147">
        <f>Q149</f>
        <v>0</v>
      </c>
      <c r="V149" s="152"/>
      <c r="W149" s="152"/>
      <c r="X149" s="152"/>
      <c r="Y149" s="152"/>
      <c r="Z149" s="152"/>
      <c r="AA149" s="152"/>
      <c r="AB149" s="153"/>
      <c r="AC149" s="154"/>
      <c r="AD149" s="116"/>
      <c r="AE149" s="116"/>
      <c r="AF149" s="129"/>
    </row>
    <row r="150" spans="1:32" outlineLevel="1" x14ac:dyDescent="0.25">
      <c r="A150" s="111" t="s">
        <v>960</v>
      </c>
      <c r="B150" s="26" t="s">
        <v>84</v>
      </c>
      <c r="C150" s="27"/>
      <c r="D150" s="28">
        <v>1</v>
      </c>
      <c r="E150" s="29">
        <v>100</v>
      </c>
      <c r="F150" s="85">
        <f>D150*E150</f>
        <v>100</v>
      </c>
      <c r="G150" s="117">
        <f t="shared" si="82"/>
        <v>0</v>
      </c>
      <c r="H150" s="30">
        <f t="shared" si="69"/>
        <v>100</v>
      </c>
      <c r="I150" s="112">
        <f>F150</f>
        <v>100</v>
      </c>
      <c r="J150" s="61"/>
      <c r="K150" s="61"/>
      <c r="L150" s="61"/>
      <c r="M150" s="61"/>
      <c r="N150" s="61"/>
      <c r="O150" s="61"/>
      <c r="P150" s="69"/>
      <c r="Q150" s="62"/>
      <c r="R150" s="171">
        <f>-41.19+753.48</f>
        <v>712.29</v>
      </c>
      <c r="S150" s="89">
        <f t="shared" si="78"/>
        <v>-712.29</v>
      </c>
      <c r="T150" s="216">
        <f t="shared" si="79"/>
        <v>0</v>
      </c>
      <c r="U150" s="147">
        <f>Q150</f>
        <v>0</v>
      </c>
      <c r="V150" s="155"/>
      <c r="W150" s="155"/>
      <c r="X150" s="155"/>
      <c r="Y150" s="155"/>
      <c r="Z150" s="155"/>
      <c r="AA150" s="155"/>
      <c r="AB150" s="156"/>
      <c r="AC150" s="157"/>
      <c r="AD150" s="76"/>
      <c r="AE150" s="76"/>
      <c r="AF150" s="128"/>
    </row>
    <row r="151" spans="1:32" s="2" customFormat="1" ht="21" x14ac:dyDescent="0.35">
      <c r="A151" s="8" t="s">
        <v>134</v>
      </c>
      <c r="B151" s="12" t="s">
        <v>895</v>
      </c>
      <c r="C151" s="21"/>
      <c r="D151" s="22"/>
      <c r="E151" s="15"/>
      <c r="F151" s="84">
        <f>F152+F155+F160+F165</f>
        <v>159859</v>
      </c>
      <c r="G151" s="89">
        <f t="shared" si="82"/>
        <v>0.39999999999417923</v>
      </c>
      <c r="H151" s="16">
        <f t="shared" si="69"/>
        <v>159859.4</v>
      </c>
      <c r="I151" s="51">
        <f t="shared" ref="I151:AE151" si="85">I152+I155+I160+I165</f>
        <v>18253</v>
      </c>
      <c r="J151" s="51">
        <f t="shared" si="85"/>
        <v>121839</v>
      </c>
      <c r="K151" s="51">
        <f t="shared" si="85"/>
        <v>4267.3999999999996</v>
      </c>
      <c r="L151" s="51">
        <f t="shared" si="85"/>
        <v>0</v>
      </c>
      <c r="M151" s="51">
        <f t="shared" si="85"/>
        <v>0</v>
      </c>
      <c r="N151" s="51">
        <f t="shared" si="85"/>
        <v>15500</v>
      </c>
      <c r="O151" s="51">
        <f t="shared" si="85"/>
        <v>0</v>
      </c>
      <c r="P151" s="51">
        <f t="shared" si="85"/>
        <v>0</v>
      </c>
      <c r="Q151" s="59">
        <f t="shared" si="85"/>
        <v>0</v>
      </c>
      <c r="R151" s="168">
        <f>R152+R155+R160+R165</f>
        <v>44401.630000000005</v>
      </c>
      <c r="S151" s="89">
        <f t="shared" si="78"/>
        <v>2943.7899999999936</v>
      </c>
      <c r="T151" s="216">
        <f t="shared" si="79"/>
        <v>47345.42</v>
      </c>
      <c r="U151" s="144">
        <f>U152+U155+U160+U165</f>
        <v>0</v>
      </c>
      <c r="V151" s="144">
        <f>44023+188.42</f>
        <v>44211.42</v>
      </c>
      <c r="W151" s="144">
        <f t="shared" ref="W151:AC151" si="86">W152+W155+W160+W165</f>
        <v>0</v>
      </c>
      <c r="X151" s="144">
        <f t="shared" si="86"/>
        <v>0</v>
      </c>
      <c r="Y151" s="144">
        <f t="shared" si="86"/>
        <v>0</v>
      </c>
      <c r="Z151" s="144">
        <v>1134</v>
      </c>
      <c r="AA151" s="144">
        <v>2000</v>
      </c>
      <c r="AB151" s="144">
        <f t="shared" si="86"/>
        <v>0</v>
      </c>
      <c r="AC151" s="151">
        <f t="shared" si="86"/>
        <v>0</v>
      </c>
      <c r="AD151" s="32">
        <f t="shared" si="85"/>
        <v>173990</v>
      </c>
      <c r="AE151" s="32">
        <f t="shared" si="85"/>
        <v>153579.85</v>
      </c>
      <c r="AF151" s="126">
        <f>AE151*100/AD151</f>
        <v>88.269354560606928</v>
      </c>
    </row>
    <row r="152" spans="1:32" s="3" customFormat="1" ht="15.75" x14ac:dyDescent="0.25">
      <c r="A152" s="7" t="s">
        <v>135</v>
      </c>
      <c r="B152" s="13" t="s">
        <v>905</v>
      </c>
      <c r="C152" s="23"/>
      <c r="D152" s="24"/>
      <c r="E152" s="17"/>
      <c r="F152" s="82">
        <f>SUM(F153:F154)</f>
        <v>1500</v>
      </c>
      <c r="G152" s="89">
        <f t="shared" si="82"/>
        <v>0</v>
      </c>
      <c r="H152" s="18">
        <f t="shared" si="69"/>
        <v>1500</v>
      </c>
      <c r="I152" s="54">
        <f t="shared" ref="I152:Q152" si="87">SUM(I153:I154)</f>
        <v>0</v>
      </c>
      <c r="J152" s="55">
        <f t="shared" si="87"/>
        <v>1500</v>
      </c>
      <c r="K152" s="55">
        <f t="shared" si="87"/>
        <v>0</v>
      </c>
      <c r="L152" s="55">
        <f t="shared" si="87"/>
        <v>0</v>
      </c>
      <c r="M152" s="55">
        <f t="shared" si="87"/>
        <v>0</v>
      </c>
      <c r="N152" s="55">
        <f t="shared" si="87"/>
        <v>0</v>
      </c>
      <c r="O152" s="55">
        <f t="shared" si="87"/>
        <v>0</v>
      </c>
      <c r="P152" s="55">
        <f t="shared" si="87"/>
        <v>0</v>
      </c>
      <c r="Q152" s="56">
        <f t="shared" si="87"/>
        <v>0</v>
      </c>
      <c r="R152" s="169">
        <f>SUM(R153:R154)</f>
        <v>846.71</v>
      </c>
      <c r="S152" s="89">
        <f t="shared" si="78"/>
        <v>-846.71</v>
      </c>
      <c r="T152" s="216">
        <f t="shared" si="79"/>
        <v>0</v>
      </c>
      <c r="U152" s="144">
        <f>SUM(U153:U154)</f>
        <v>0</v>
      </c>
      <c r="V152" s="145">
        <f t="shared" ref="V152:AC152" si="88">SUM(V153:V154)</f>
        <v>0</v>
      </c>
      <c r="W152" s="145">
        <f t="shared" si="88"/>
        <v>0</v>
      </c>
      <c r="X152" s="145">
        <f t="shared" si="88"/>
        <v>0</v>
      </c>
      <c r="Y152" s="145">
        <f t="shared" si="88"/>
        <v>0</v>
      </c>
      <c r="Z152" s="145">
        <f t="shared" si="88"/>
        <v>0</v>
      </c>
      <c r="AA152" s="145">
        <f t="shared" si="88"/>
        <v>0</v>
      </c>
      <c r="AB152" s="145">
        <f t="shared" si="88"/>
        <v>0</v>
      </c>
      <c r="AC152" s="146">
        <f t="shared" si="88"/>
        <v>0</v>
      </c>
      <c r="AD152" s="33">
        <v>1600</v>
      </c>
      <c r="AE152" s="33">
        <f>2137-679</f>
        <v>1458</v>
      </c>
      <c r="AF152" s="127">
        <f>AE152*100/AD152</f>
        <v>91.125</v>
      </c>
    </row>
    <row r="153" spans="1:32" outlineLevel="1" x14ac:dyDescent="0.25">
      <c r="A153" s="5" t="s">
        <v>138</v>
      </c>
      <c r="B153" s="75" t="s">
        <v>905</v>
      </c>
      <c r="C153" s="25"/>
      <c r="D153" s="92">
        <v>1</v>
      </c>
      <c r="E153" s="110">
        <v>1500</v>
      </c>
      <c r="F153" s="93">
        <f>D153*E153</f>
        <v>1500</v>
      </c>
      <c r="G153" s="74">
        <f t="shared" si="82"/>
        <v>0</v>
      </c>
      <c r="H153" s="95">
        <f t="shared" si="69"/>
        <v>1500</v>
      </c>
      <c r="I153" s="112"/>
      <c r="J153" s="57">
        <v>1500</v>
      </c>
      <c r="K153" s="57"/>
      <c r="L153" s="57"/>
      <c r="M153" s="57"/>
      <c r="N153" s="57"/>
      <c r="O153" s="57"/>
      <c r="P153" s="68"/>
      <c r="Q153" s="58"/>
      <c r="R153" s="170">
        <v>846.71</v>
      </c>
      <c r="S153" s="89">
        <f t="shared" si="78"/>
        <v>-846.71</v>
      </c>
      <c r="T153" s="216">
        <f t="shared" si="79"/>
        <v>0</v>
      </c>
      <c r="U153" s="147"/>
      <c r="V153" s="148"/>
      <c r="W153" s="148"/>
      <c r="X153" s="148"/>
      <c r="Y153" s="148"/>
      <c r="Z153" s="148"/>
      <c r="AA153" s="148"/>
      <c r="AB153" s="149"/>
      <c r="AC153" s="150"/>
      <c r="AD153" s="76"/>
      <c r="AE153" s="76"/>
      <c r="AF153" s="128"/>
    </row>
    <row r="154" spans="1:32" outlineLevel="1" x14ac:dyDescent="0.25">
      <c r="A154" s="4" t="s">
        <v>139</v>
      </c>
      <c r="B154" s="75" t="s">
        <v>47</v>
      </c>
      <c r="C154" s="25"/>
      <c r="D154" s="92"/>
      <c r="E154" s="110"/>
      <c r="F154" s="93">
        <f>D154*E154</f>
        <v>0</v>
      </c>
      <c r="G154" s="74">
        <f t="shared" si="82"/>
        <v>0</v>
      </c>
      <c r="H154" s="95">
        <f t="shared" si="69"/>
        <v>0</v>
      </c>
      <c r="I154" s="112"/>
      <c r="J154" s="57"/>
      <c r="K154" s="57"/>
      <c r="L154" s="57"/>
      <c r="M154" s="57"/>
      <c r="N154" s="57"/>
      <c r="O154" s="57"/>
      <c r="P154" s="68"/>
      <c r="Q154" s="58"/>
      <c r="R154" s="170">
        <f>P154*Q154</f>
        <v>0</v>
      </c>
      <c r="S154" s="89">
        <f t="shared" si="78"/>
        <v>0</v>
      </c>
      <c r="T154" s="216">
        <f t="shared" si="79"/>
        <v>0</v>
      </c>
      <c r="U154" s="147"/>
      <c r="V154" s="148"/>
      <c r="W154" s="148"/>
      <c r="X154" s="148"/>
      <c r="Y154" s="148"/>
      <c r="Z154" s="148"/>
      <c r="AA154" s="148"/>
      <c r="AB154" s="149"/>
      <c r="AC154" s="150"/>
      <c r="AD154" s="76"/>
      <c r="AE154" s="76"/>
      <c r="AF154" s="128"/>
    </row>
    <row r="155" spans="1:32" s="3" customFormat="1" ht="15.75" x14ac:dyDescent="0.25">
      <c r="A155" s="7" t="s">
        <v>143</v>
      </c>
      <c r="B155" s="13" t="s">
        <v>212</v>
      </c>
      <c r="C155" s="23"/>
      <c r="D155" s="24"/>
      <c r="E155" s="17"/>
      <c r="F155" s="82">
        <f>SUM(F156:F159)</f>
        <v>94361</v>
      </c>
      <c r="G155" s="89">
        <f t="shared" si="82"/>
        <v>0.39999999999417923</v>
      </c>
      <c r="H155" s="18">
        <f t="shared" si="69"/>
        <v>94361.4</v>
      </c>
      <c r="I155" s="54">
        <f t="shared" ref="I155:Q155" si="89">SUM(I156:I159)</f>
        <v>0</v>
      </c>
      <c r="J155" s="55">
        <f t="shared" si="89"/>
        <v>74594</v>
      </c>
      <c r="K155" s="55">
        <f t="shared" si="89"/>
        <v>4267.3999999999996</v>
      </c>
      <c r="L155" s="55">
        <f t="shared" si="89"/>
        <v>0</v>
      </c>
      <c r="M155" s="55">
        <f t="shared" si="89"/>
        <v>0</v>
      </c>
      <c r="N155" s="55">
        <f t="shared" si="89"/>
        <v>15500</v>
      </c>
      <c r="O155" s="55">
        <f t="shared" si="89"/>
        <v>0</v>
      </c>
      <c r="P155" s="55">
        <f t="shared" si="89"/>
        <v>0</v>
      </c>
      <c r="Q155" s="56">
        <f t="shared" si="89"/>
        <v>0</v>
      </c>
      <c r="R155" s="169">
        <f>SUM(R156:R159)</f>
        <v>28332.560000000001</v>
      </c>
      <c r="S155" s="89">
        <f t="shared" si="78"/>
        <v>-28332.560000000001</v>
      </c>
      <c r="T155" s="216">
        <f t="shared" si="79"/>
        <v>0</v>
      </c>
      <c r="U155" s="144">
        <f>SUM(U156:U159)</f>
        <v>0</v>
      </c>
      <c r="V155" s="145">
        <f t="shared" ref="V155:AC155" si="90">SUM(V156:V159)</f>
        <v>0</v>
      </c>
      <c r="W155" s="145">
        <f t="shared" si="90"/>
        <v>0</v>
      </c>
      <c r="X155" s="145">
        <f t="shared" si="90"/>
        <v>0</v>
      </c>
      <c r="Y155" s="145">
        <f t="shared" si="90"/>
        <v>0</v>
      </c>
      <c r="Z155" s="145">
        <f t="shared" si="90"/>
        <v>0</v>
      </c>
      <c r="AA155" s="145">
        <f t="shared" si="90"/>
        <v>0</v>
      </c>
      <c r="AB155" s="145">
        <f t="shared" si="90"/>
        <v>0</v>
      </c>
      <c r="AC155" s="146">
        <f t="shared" si="90"/>
        <v>0</v>
      </c>
      <c r="AD155" s="33">
        <f>109890-1500</f>
        <v>108390</v>
      </c>
      <c r="AE155" s="33">
        <f>55166.53+37946.32+327+679</f>
        <v>94118.85</v>
      </c>
      <c r="AF155" s="127">
        <f>AE155*100/AD155</f>
        <v>86.833517852200387</v>
      </c>
    </row>
    <row r="156" spans="1:32" outlineLevel="1" x14ac:dyDescent="0.25">
      <c r="A156" s="4" t="s">
        <v>144</v>
      </c>
      <c r="B156" s="75" t="s">
        <v>869</v>
      </c>
      <c r="C156" s="25"/>
      <c r="D156" s="92">
        <v>1</v>
      </c>
      <c r="E156" s="110">
        <v>54489</v>
      </c>
      <c r="F156" s="93">
        <f>D156*E156</f>
        <v>54489</v>
      </c>
      <c r="G156" s="74">
        <f t="shared" si="82"/>
        <v>0.40000000000145519</v>
      </c>
      <c r="H156" s="95">
        <f t="shared" si="69"/>
        <v>54489.4</v>
      </c>
      <c r="I156" s="112"/>
      <c r="J156" s="57">
        <f>54489-15500-6956-819+3508</f>
        <v>34722</v>
      </c>
      <c r="K156" s="57">
        <f>+(4492)*0.95</f>
        <v>4267.3999999999996</v>
      </c>
      <c r="L156" s="57"/>
      <c r="M156" s="57"/>
      <c r="N156" s="57">
        <v>15500</v>
      </c>
      <c r="O156" s="57"/>
      <c r="P156" s="68"/>
      <c r="Q156" s="58"/>
      <c r="R156" s="170">
        <v>16739.95</v>
      </c>
      <c r="S156" s="89">
        <f t="shared" si="78"/>
        <v>-16739.95</v>
      </c>
      <c r="T156" s="216">
        <f t="shared" si="79"/>
        <v>0</v>
      </c>
      <c r="U156" s="147"/>
      <c r="V156" s="148"/>
      <c r="W156" s="148"/>
      <c r="X156" s="148"/>
      <c r="Y156" s="148"/>
      <c r="Z156" s="148"/>
      <c r="AA156" s="148"/>
      <c r="AB156" s="149"/>
      <c r="AC156" s="150"/>
      <c r="AD156" s="76"/>
      <c r="AE156" s="76"/>
      <c r="AF156" s="128"/>
    </row>
    <row r="157" spans="1:32" outlineLevel="1" x14ac:dyDescent="0.25">
      <c r="A157" s="4" t="s">
        <v>145</v>
      </c>
      <c r="B157" s="75" t="s">
        <v>870</v>
      </c>
      <c r="C157" s="25"/>
      <c r="D157" s="92">
        <v>1</v>
      </c>
      <c r="E157" s="110">
        <v>30672</v>
      </c>
      <c r="F157" s="93">
        <f>D157*E157</f>
        <v>30672</v>
      </c>
      <c r="G157" s="74">
        <f t="shared" si="82"/>
        <v>0</v>
      </c>
      <c r="H157" s="95">
        <f t="shared" si="69"/>
        <v>30672</v>
      </c>
      <c r="I157" s="112"/>
      <c r="J157" s="57">
        <v>30672</v>
      </c>
      <c r="K157" s="57"/>
      <c r="L157" s="57"/>
      <c r="M157" s="57"/>
      <c r="N157" s="57"/>
      <c r="O157" s="57"/>
      <c r="P157" s="68"/>
      <c r="Q157" s="58"/>
      <c r="R157" s="170">
        <v>10764.96</v>
      </c>
      <c r="S157" s="89">
        <f t="shared" si="78"/>
        <v>-10764.96</v>
      </c>
      <c r="T157" s="216">
        <f t="shared" si="79"/>
        <v>0</v>
      </c>
      <c r="U157" s="147"/>
      <c r="V157" s="148"/>
      <c r="W157" s="148"/>
      <c r="X157" s="148"/>
      <c r="Y157" s="148"/>
      <c r="Z157" s="148"/>
      <c r="AA157" s="148"/>
      <c r="AB157" s="149"/>
      <c r="AC157" s="150"/>
      <c r="AD157" s="76"/>
      <c r="AE157" s="76"/>
      <c r="AF157" s="128"/>
    </row>
    <row r="158" spans="1:32" outlineLevel="1" x14ac:dyDescent="0.25">
      <c r="A158" s="4" t="s">
        <v>146</v>
      </c>
      <c r="B158" s="75" t="s">
        <v>874</v>
      </c>
      <c r="C158" s="25"/>
      <c r="D158" s="92">
        <v>1</v>
      </c>
      <c r="E158" s="110">
        <v>2200</v>
      </c>
      <c r="F158" s="93">
        <f>D158*E158</f>
        <v>2200</v>
      </c>
      <c r="G158" s="74">
        <f t="shared" si="82"/>
        <v>0</v>
      </c>
      <c r="H158" s="95">
        <f t="shared" si="69"/>
        <v>2200</v>
      </c>
      <c r="I158" s="112"/>
      <c r="J158" s="57">
        <v>2200</v>
      </c>
      <c r="K158" s="57"/>
      <c r="L158" s="57"/>
      <c r="M158" s="57"/>
      <c r="N158" s="57"/>
      <c r="O158" s="57"/>
      <c r="P158" s="68"/>
      <c r="Q158" s="58"/>
      <c r="R158" s="170">
        <v>459.29</v>
      </c>
      <c r="S158" s="89">
        <f t="shared" si="78"/>
        <v>-459.29</v>
      </c>
      <c r="T158" s="216">
        <f t="shared" si="79"/>
        <v>0</v>
      </c>
      <c r="U158" s="147"/>
      <c r="V158" s="148"/>
      <c r="W158" s="148"/>
      <c r="X158" s="148"/>
      <c r="Y158" s="148"/>
      <c r="Z158" s="148"/>
      <c r="AA158" s="148"/>
      <c r="AB158" s="149"/>
      <c r="AC158" s="150"/>
      <c r="AD158" s="76"/>
      <c r="AE158" s="76"/>
      <c r="AF158" s="128"/>
    </row>
    <row r="159" spans="1:32" outlineLevel="1" x14ac:dyDescent="0.25">
      <c r="A159" s="4" t="s">
        <v>147</v>
      </c>
      <c r="B159" s="75" t="s">
        <v>47</v>
      </c>
      <c r="C159" s="25"/>
      <c r="D159" s="92">
        <v>1</v>
      </c>
      <c r="E159" s="110">
        <v>7000</v>
      </c>
      <c r="F159" s="93">
        <f>D159*E159</f>
        <v>7000</v>
      </c>
      <c r="G159" s="74">
        <f t="shared" si="82"/>
        <v>0</v>
      </c>
      <c r="H159" s="95">
        <f t="shared" si="69"/>
        <v>7000</v>
      </c>
      <c r="I159" s="112"/>
      <c r="J159" s="57">
        <v>7000</v>
      </c>
      <c r="K159" s="57"/>
      <c r="L159" s="57"/>
      <c r="M159" s="57"/>
      <c r="N159" s="57"/>
      <c r="O159" s="57"/>
      <c r="P159" s="68"/>
      <c r="Q159" s="58"/>
      <c r="R159" s="170">
        <v>368.36</v>
      </c>
      <c r="S159" s="89">
        <f t="shared" si="78"/>
        <v>-368.36</v>
      </c>
      <c r="T159" s="216">
        <f t="shared" si="79"/>
        <v>0</v>
      </c>
      <c r="U159" s="147"/>
      <c r="V159" s="148"/>
      <c r="W159" s="148"/>
      <c r="X159" s="148"/>
      <c r="Y159" s="148"/>
      <c r="Z159" s="148"/>
      <c r="AA159" s="148"/>
      <c r="AB159" s="149"/>
      <c r="AC159" s="150"/>
      <c r="AD159" s="76"/>
      <c r="AE159" s="76"/>
      <c r="AF159" s="128"/>
    </row>
    <row r="160" spans="1:32" s="3" customFormat="1" ht="15.75" x14ac:dyDescent="0.25">
      <c r="A160" s="7" t="s">
        <v>150</v>
      </c>
      <c r="B160" s="13" t="s">
        <v>228</v>
      </c>
      <c r="C160" s="23"/>
      <c r="D160" s="24"/>
      <c r="E160" s="17"/>
      <c r="F160" s="82">
        <f>SUM(F161:F164)</f>
        <v>47498</v>
      </c>
      <c r="G160" s="89">
        <f t="shared" si="82"/>
        <v>0</v>
      </c>
      <c r="H160" s="18">
        <f t="shared" si="69"/>
        <v>47498</v>
      </c>
      <c r="I160" s="54">
        <f t="shared" ref="I160:Q160" si="91">SUM(I161:I164)</f>
        <v>1753</v>
      </c>
      <c r="J160" s="55">
        <f t="shared" si="91"/>
        <v>45745</v>
      </c>
      <c r="K160" s="55">
        <f t="shared" si="91"/>
        <v>0</v>
      </c>
      <c r="L160" s="55">
        <f t="shared" si="91"/>
        <v>0</v>
      </c>
      <c r="M160" s="55">
        <f t="shared" si="91"/>
        <v>0</v>
      </c>
      <c r="N160" s="55">
        <f t="shared" si="91"/>
        <v>0</v>
      </c>
      <c r="O160" s="55">
        <f t="shared" si="91"/>
        <v>0</v>
      </c>
      <c r="P160" s="55">
        <f t="shared" si="91"/>
        <v>0</v>
      </c>
      <c r="Q160" s="56">
        <f t="shared" si="91"/>
        <v>0</v>
      </c>
      <c r="R160" s="169">
        <f>SUM(R161:R164)</f>
        <v>15222.36</v>
      </c>
      <c r="S160" s="89">
        <f t="shared" si="78"/>
        <v>-15222.36</v>
      </c>
      <c r="T160" s="216">
        <f t="shared" si="79"/>
        <v>0</v>
      </c>
      <c r="U160" s="144">
        <f>SUM(U161:U164)</f>
        <v>0</v>
      </c>
      <c r="V160" s="145">
        <f t="shared" ref="V160:AC160" si="92">SUM(V161:V164)</f>
        <v>0</v>
      </c>
      <c r="W160" s="145">
        <f t="shared" si="92"/>
        <v>0</v>
      </c>
      <c r="X160" s="145">
        <f t="shared" si="92"/>
        <v>0</v>
      </c>
      <c r="Y160" s="145">
        <f t="shared" si="92"/>
        <v>0</v>
      </c>
      <c r="Z160" s="145">
        <f t="shared" si="92"/>
        <v>0</v>
      </c>
      <c r="AA160" s="145">
        <f t="shared" si="92"/>
        <v>0</v>
      </c>
      <c r="AB160" s="145">
        <f t="shared" si="92"/>
        <v>0</v>
      </c>
      <c r="AC160" s="146">
        <f t="shared" si="92"/>
        <v>0</v>
      </c>
      <c r="AD160" s="33">
        <v>47500</v>
      </c>
      <c r="AE160" s="33">
        <f>41503</f>
        <v>41503</v>
      </c>
      <c r="AF160" s="127">
        <f>AE160*100/AD160</f>
        <v>87.374736842105264</v>
      </c>
    </row>
    <row r="161" spans="1:33" outlineLevel="1" x14ac:dyDescent="0.25">
      <c r="A161" s="4" t="s">
        <v>151</v>
      </c>
      <c r="B161" s="75" t="s">
        <v>871</v>
      </c>
      <c r="C161" s="25"/>
      <c r="D161" s="92">
        <v>1</v>
      </c>
      <c r="E161" s="110">
        <v>5590</v>
      </c>
      <c r="F161" s="93">
        <f>D161*E161</f>
        <v>5590</v>
      </c>
      <c r="G161" s="74">
        <f t="shared" si="82"/>
        <v>0</v>
      </c>
      <c r="H161" s="95">
        <f t="shared" si="69"/>
        <v>5590</v>
      </c>
      <c r="I161" s="112"/>
      <c r="J161" s="57">
        <v>5590</v>
      </c>
      <c r="K161" s="57"/>
      <c r="L161" s="57"/>
      <c r="M161" s="57"/>
      <c r="N161" s="57"/>
      <c r="O161" s="57"/>
      <c r="P161" s="68"/>
      <c r="Q161" s="58"/>
      <c r="R161" s="170">
        <v>2034.94</v>
      </c>
      <c r="S161" s="89">
        <f t="shared" si="78"/>
        <v>-2034.94</v>
      </c>
      <c r="T161" s="216">
        <f t="shared" si="79"/>
        <v>0</v>
      </c>
      <c r="U161" s="147"/>
      <c r="V161" s="148"/>
      <c r="W161" s="148"/>
      <c r="X161" s="148"/>
      <c r="Y161" s="148"/>
      <c r="Z161" s="148"/>
      <c r="AA161" s="148"/>
      <c r="AB161" s="149"/>
      <c r="AC161" s="150"/>
      <c r="AD161" s="76"/>
      <c r="AE161" s="76"/>
      <c r="AF161" s="128"/>
    </row>
    <row r="162" spans="1:33" outlineLevel="1" x14ac:dyDescent="0.25">
      <c r="A162" s="6" t="s">
        <v>154</v>
      </c>
      <c r="B162" s="75" t="s">
        <v>872</v>
      </c>
      <c r="C162" s="25"/>
      <c r="D162" s="92">
        <v>1</v>
      </c>
      <c r="E162" s="110">
        <v>13468</v>
      </c>
      <c r="F162" s="93">
        <f>D162*E162</f>
        <v>13468</v>
      </c>
      <c r="G162" s="74">
        <f t="shared" si="82"/>
        <v>0</v>
      </c>
      <c r="H162" s="95">
        <f t="shared" si="69"/>
        <v>13468</v>
      </c>
      <c r="I162" s="112"/>
      <c r="J162" s="57">
        <v>13468</v>
      </c>
      <c r="K162" s="57"/>
      <c r="L162" s="57"/>
      <c r="M162" s="57"/>
      <c r="N162" s="57"/>
      <c r="O162" s="57"/>
      <c r="P162" s="68"/>
      <c r="Q162" s="58"/>
      <c r="R162" s="170">
        <v>6428.86</v>
      </c>
      <c r="S162" s="89">
        <f t="shared" si="78"/>
        <v>-6428.86</v>
      </c>
      <c r="T162" s="216">
        <f t="shared" si="79"/>
        <v>0</v>
      </c>
      <c r="U162" s="147"/>
      <c r="V162" s="148"/>
      <c r="W162" s="148"/>
      <c r="X162" s="148"/>
      <c r="Y162" s="148"/>
      <c r="Z162" s="148"/>
      <c r="AA162" s="148"/>
      <c r="AB162" s="149"/>
      <c r="AC162" s="150"/>
      <c r="AD162" s="76"/>
      <c r="AE162" s="76"/>
      <c r="AF162" s="128"/>
    </row>
    <row r="163" spans="1:33" outlineLevel="1" x14ac:dyDescent="0.25">
      <c r="A163" s="4" t="s">
        <v>586</v>
      </c>
      <c r="B163" s="75" t="s">
        <v>873</v>
      </c>
      <c r="C163" s="25"/>
      <c r="D163" s="92">
        <v>1</v>
      </c>
      <c r="E163" s="110">
        <v>28440</v>
      </c>
      <c r="F163" s="93">
        <f>D163*E163</f>
        <v>28440</v>
      </c>
      <c r="G163" s="74">
        <f t="shared" si="82"/>
        <v>0</v>
      </c>
      <c r="H163" s="95">
        <f t="shared" si="69"/>
        <v>28440</v>
      </c>
      <c r="I163" s="112">
        <v>1753</v>
      </c>
      <c r="J163" s="57">
        <f>28440-1753</f>
        <v>26687</v>
      </c>
      <c r="K163" s="57">
        <v>0</v>
      </c>
      <c r="L163" s="57"/>
      <c r="M163" s="57"/>
      <c r="N163" s="57"/>
      <c r="O163" s="57"/>
      <c r="P163" s="68"/>
      <c r="Q163" s="58"/>
      <c r="R163" s="170">
        <v>6758.56</v>
      </c>
      <c r="S163" s="89">
        <f t="shared" si="78"/>
        <v>-6758.56</v>
      </c>
      <c r="T163" s="216">
        <f t="shared" si="79"/>
        <v>0</v>
      </c>
      <c r="U163" s="147"/>
      <c r="V163" s="148"/>
      <c r="W163" s="148">
        <v>0</v>
      </c>
      <c r="X163" s="148"/>
      <c r="Y163" s="148"/>
      <c r="Z163" s="148"/>
      <c r="AA163" s="148"/>
      <c r="AB163" s="149"/>
      <c r="AC163" s="150"/>
      <c r="AD163" s="76"/>
      <c r="AE163" s="76"/>
      <c r="AF163" s="128"/>
    </row>
    <row r="164" spans="1:33" outlineLevel="1" x14ac:dyDescent="0.25">
      <c r="A164" s="4" t="s">
        <v>587</v>
      </c>
      <c r="B164" s="75" t="s">
        <v>47</v>
      </c>
      <c r="C164" s="25"/>
      <c r="D164" s="92"/>
      <c r="E164" s="110"/>
      <c r="F164" s="93">
        <f>D164*E164</f>
        <v>0</v>
      </c>
      <c r="G164" s="74">
        <f t="shared" si="82"/>
        <v>0</v>
      </c>
      <c r="H164" s="95">
        <f t="shared" si="69"/>
        <v>0</v>
      </c>
      <c r="I164" s="112"/>
      <c r="J164" s="57"/>
      <c r="K164" s="57"/>
      <c r="L164" s="57"/>
      <c r="M164" s="57"/>
      <c r="N164" s="57"/>
      <c r="O164" s="57"/>
      <c r="P164" s="68"/>
      <c r="Q164" s="58"/>
      <c r="R164" s="170">
        <f>P164*Q164</f>
        <v>0</v>
      </c>
      <c r="S164" s="89">
        <f t="shared" si="78"/>
        <v>0</v>
      </c>
      <c r="T164" s="216">
        <f t="shared" si="79"/>
        <v>0</v>
      </c>
      <c r="U164" s="147"/>
      <c r="V164" s="148"/>
      <c r="W164" s="148"/>
      <c r="X164" s="148"/>
      <c r="Y164" s="148"/>
      <c r="Z164" s="148"/>
      <c r="AA164" s="148"/>
      <c r="AB164" s="149"/>
      <c r="AC164" s="150"/>
      <c r="AD164" s="76"/>
      <c r="AE164" s="76"/>
      <c r="AF164" s="128"/>
    </row>
    <row r="165" spans="1:33" s="3" customFormat="1" ht="15.75" x14ac:dyDescent="0.25">
      <c r="A165" s="7" t="s">
        <v>150</v>
      </c>
      <c r="B165" s="13" t="s">
        <v>495</v>
      </c>
      <c r="C165" s="23"/>
      <c r="D165" s="24"/>
      <c r="E165" s="17"/>
      <c r="F165" s="82">
        <f>SUM(F166:F167)</f>
        <v>16500</v>
      </c>
      <c r="G165" s="89">
        <f t="shared" si="82"/>
        <v>0</v>
      </c>
      <c r="H165" s="18">
        <f t="shared" si="69"/>
        <v>16500</v>
      </c>
      <c r="I165" s="54">
        <f t="shared" ref="I165:Q165" si="93">SUM(I166:I167)</f>
        <v>16500</v>
      </c>
      <c r="J165" s="55">
        <f t="shared" si="93"/>
        <v>0</v>
      </c>
      <c r="K165" s="55">
        <f t="shared" si="93"/>
        <v>0</v>
      </c>
      <c r="L165" s="55">
        <f t="shared" si="93"/>
        <v>0</v>
      </c>
      <c r="M165" s="55">
        <f t="shared" si="93"/>
        <v>0</v>
      </c>
      <c r="N165" s="55">
        <f t="shared" si="93"/>
        <v>0</v>
      </c>
      <c r="O165" s="55">
        <f t="shared" si="93"/>
        <v>0</v>
      </c>
      <c r="P165" s="55">
        <f t="shared" si="93"/>
        <v>0</v>
      </c>
      <c r="Q165" s="56">
        <f t="shared" si="93"/>
        <v>0</v>
      </c>
      <c r="R165" s="169">
        <f>SUM(R166:R167)</f>
        <v>0</v>
      </c>
      <c r="S165" s="89">
        <f t="shared" si="78"/>
        <v>0</v>
      </c>
      <c r="T165" s="216">
        <f t="shared" si="79"/>
        <v>0</v>
      </c>
      <c r="U165" s="144">
        <f>SUM(U166:U167)</f>
        <v>0</v>
      </c>
      <c r="V165" s="145">
        <f t="shared" ref="V165:AC165" si="94">SUM(V166:V167)</f>
        <v>0</v>
      </c>
      <c r="W165" s="145">
        <f t="shared" si="94"/>
        <v>0</v>
      </c>
      <c r="X165" s="145">
        <f t="shared" si="94"/>
        <v>0</v>
      </c>
      <c r="Y165" s="145">
        <f t="shared" si="94"/>
        <v>0</v>
      </c>
      <c r="Z165" s="145">
        <f t="shared" si="94"/>
        <v>0</v>
      </c>
      <c r="AA165" s="145">
        <f t="shared" si="94"/>
        <v>0</v>
      </c>
      <c r="AB165" s="145">
        <f t="shared" si="94"/>
        <v>0</v>
      </c>
      <c r="AC165" s="146">
        <f t="shared" si="94"/>
        <v>0</v>
      </c>
      <c r="AD165" s="33">
        <v>16500</v>
      </c>
      <c r="AE165" s="33">
        <v>16500</v>
      </c>
      <c r="AF165" s="127">
        <f>AE165*100/AD165</f>
        <v>100</v>
      </c>
    </row>
    <row r="166" spans="1:33" outlineLevel="1" x14ac:dyDescent="0.25">
      <c r="A166" s="4" t="s">
        <v>151</v>
      </c>
      <c r="B166" s="75" t="s">
        <v>225</v>
      </c>
      <c r="C166" s="25"/>
      <c r="D166" s="92">
        <v>1</v>
      </c>
      <c r="E166" s="110">
        <v>16500</v>
      </c>
      <c r="F166" s="93">
        <f>D166*E166</f>
        <v>16500</v>
      </c>
      <c r="G166" s="74">
        <f t="shared" si="82"/>
        <v>0</v>
      </c>
      <c r="H166" s="95">
        <f t="shared" si="69"/>
        <v>16500</v>
      </c>
      <c r="I166" s="57">
        <v>16500</v>
      </c>
      <c r="J166" s="57"/>
      <c r="K166" s="57"/>
      <c r="L166" s="57"/>
      <c r="M166" s="57"/>
      <c r="N166" s="57"/>
      <c r="O166" s="57"/>
      <c r="P166" s="68"/>
      <c r="Q166" s="58"/>
      <c r="R166" s="170">
        <f>P166*Q166</f>
        <v>0</v>
      </c>
      <c r="S166" s="89">
        <f t="shared" si="78"/>
        <v>0</v>
      </c>
      <c r="T166" s="216">
        <f t="shared" si="79"/>
        <v>0</v>
      </c>
      <c r="U166" s="148"/>
      <c r="V166" s="148"/>
      <c r="W166" s="148"/>
      <c r="X166" s="148"/>
      <c r="Y166" s="148"/>
      <c r="Z166" s="148"/>
      <c r="AA166" s="148"/>
      <c r="AB166" s="149"/>
      <c r="AC166" s="150"/>
      <c r="AD166" s="76"/>
      <c r="AE166" s="76"/>
      <c r="AF166" s="128"/>
    </row>
    <row r="167" spans="1:33" outlineLevel="1" x14ac:dyDescent="0.25">
      <c r="A167" s="6" t="s">
        <v>154</v>
      </c>
      <c r="B167" s="75" t="s">
        <v>496</v>
      </c>
      <c r="C167" s="25"/>
      <c r="D167" s="92"/>
      <c r="E167" s="110"/>
      <c r="F167" s="93">
        <f>D167*E167</f>
        <v>0</v>
      </c>
      <c r="G167" s="74">
        <f t="shared" si="82"/>
        <v>0</v>
      </c>
      <c r="H167" s="95">
        <f t="shared" si="69"/>
        <v>0</v>
      </c>
      <c r="I167" s="112"/>
      <c r="J167" s="57"/>
      <c r="K167" s="57"/>
      <c r="L167" s="57"/>
      <c r="M167" s="57"/>
      <c r="N167" s="57"/>
      <c r="O167" s="57"/>
      <c r="P167" s="68"/>
      <c r="Q167" s="58"/>
      <c r="R167" s="170">
        <f>P167*Q167</f>
        <v>0</v>
      </c>
      <c r="S167" s="89">
        <f t="shared" si="78"/>
        <v>0</v>
      </c>
      <c r="T167" s="216">
        <f t="shared" si="79"/>
        <v>0</v>
      </c>
      <c r="U167" s="147"/>
      <c r="V167" s="148"/>
      <c r="W167" s="148"/>
      <c r="X167" s="148"/>
      <c r="Y167" s="148"/>
      <c r="Z167" s="148"/>
      <c r="AA167" s="148"/>
      <c r="AB167" s="149"/>
      <c r="AC167" s="150"/>
      <c r="AD167" s="76"/>
      <c r="AE167" s="76"/>
      <c r="AF167" s="128"/>
    </row>
    <row r="168" spans="1:33" s="2" customFormat="1" ht="21" x14ac:dyDescent="0.35">
      <c r="A168" s="8" t="s">
        <v>158</v>
      </c>
      <c r="B168" s="12" t="s">
        <v>210</v>
      </c>
      <c r="C168" s="21"/>
      <c r="D168" s="22"/>
      <c r="E168" s="15"/>
      <c r="F168" s="84">
        <f>F169+F175+F181+F185+F188+F191+F197+F204+F208</f>
        <v>186989</v>
      </c>
      <c r="G168" s="89">
        <f t="shared" si="82"/>
        <v>9700</v>
      </c>
      <c r="H168" s="16">
        <f t="shared" si="69"/>
        <v>196689</v>
      </c>
      <c r="I168" s="51">
        <f t="shared" ref="I168:Q168" si="95">I169+I175+I181+I185+I188+I191+I197+I204+I208</f>
        <v>0</v>
      </c>
      <c r="J168" s="105">
        <f t="shared" si="95"/>
        <v>185349</v>
      </c>
      <c r="K168" s="51">
        <f t="shared" si="95"/>
        <v>4840</v>
      </c>
      <c r="L168" s="51">
        <f t="shared" si="95"/>
        <v>0</v>
      </c>
      <c r="M168" s="51">
        <f t="shared" si="95"/>
        <v>0</v>
      </c>
      <c r="N168" s="51">
        <f t="shared" si="95"/>
        <v>0</v>
      </c>
      <c r="O168" s="51">
        <f t="shared" si="95"/>
        <v>0</v>
      </c>
      <c r="P168" s="51">
        <f t="shared" si="95"/>
        <v>6500</v>
      </c>
      <c r="Q168" s="59">
        <f t="shared" si="95"/>
        <v>0</v>
      </c>
      <c r="R168" s="168">
        <f>R169+R175+R181+R185+R188+R191+R197+R204+R208</f>
        <v>37031.26</v>
      </c>
      <c r="S168" s="89">
        <f t="shared" si="78"/>
        <v>-11795.710000000003</v>
      </c>
      <c r="T168" s="216">
        <f t="shared" si="79"/>
        <v>25235.55</v>
      </c>
      <c r="U168" s="144">
        <f>U169+U175+U181+U185+U188+U191+U197+U204+U208</f>
        <v>0</v>
      </c>
      <c r="V168" s="158">
        <f>25235.55-72</f>
        <v>25163.55</v>
      </c>
      <c r="W168" s="144">
        <f t="shared" ref="W168:AB168" si="96">W169+W175+W181+W185+W188+W191+W197+W204+W208</f>
        <v>0</v>
      </c>
      <c r="X168" s="144">
        <f t="shared" si="96"/>
        <v>0</v>
      </c>
      <c r="Y168" s="144">
        <f t="shared" si="96"/>
        <v>0</v>
      </c>
      <c r="Z168" s="144">
        <f t="shared" si="96"/>
        <v>0</v>
      </c>
      <c r="AA168" s="144">
        <f t="shared" si="96"/>
        <v>0</v>
      </c>
      <c r="AB168" s="144">
        <f t="shared" si="96"/>
        <v>0</v>
      </c>
      <c r="AC168" s="151">
        <v>72</v>
      </c>
      <c r="AD168" s="32">
        <f>+AD169+AD175+AD181+AD185+AD188+AD191+AD197+AD204+AD208</f>
        <v>196098</v>
      </c>
      <c r="AE168" s="32">
        <f>AE169+AE175+AE181+AE185+AE188+AE191+AE197+AE204+AE208</f>
        <v>126597.55</v>
      </c>
      <c r="AF168" s="126">
        <f>AE168*100/AD168</f>
        <v>64.558307580903431</v>
      </c>
    </row>
    <row r="169" spans="1:33" s="3" customFormat="1" ht="15.75" x14ac:dyDescent="0.25">
      <c r="A169" s="7" t="s">
        <v>159</v>
      </c>
      <c r="B169" s="13" t="s">
        <v>312</v>
      </c>
      <c r="C169" s="23"/>
      <c r="D169" s="24"/>
      <c r="E169" s="17"/>
      <c r="F169" s="82">
        <f>SUM(F170:F174)</f>
        <v>29500</v>
      </c>
      <c r="G169" s="89">
        <f t="shared" si="82"/>
        <v>0</v>
      </c>
      <c r="H169" s="18">
        <f t="shared" si="69"/>
        <v>29500</v>
      </c>
      <c r="I169" s="54">
        <f t="shared" ref="I169:Q169" si="97">SUM(I170:I174)</f>
        <v>0</v>
      </c>
      <c r="J169" s="55">
        <f t="shared" si="97"/>
        <v>29500</v>
      </c>
      <c r="K169" s="55">
        <f t="shared" si="97"/>
        <v>0</v>
      </c>
      <c r="L169" s="55">
        <f t="shared" si="97"/>
        <v>0</v>
      </c>
      <c r="M169" s="55">
        <f>SUM(M170:M174)</f>
        <v>0</v>
      </c>
      <c r="N169" s="55">
        <f t="shared" si="97"/>
        <v>0</v>
      </c>
      <c r="O169" s="55">
        <f t="shared" si="97"/>
        <v>0</v>
      </c>
      <c r="P169" s="55">
        <f t="shared" si="97"/>
        <v>0</v>
      </c>
      <c r="Q169" s="56">
        <f t="shared" si="97"/>
        <v>0</v>
      </c>
      <c r="R169" s="169">
        <f>SUM(R170:R174)</f>
        <v>1126.0900000000001</v>
      </c>
      <c r="S169" s="89">
        <f t="shared" si="78"/>
        <v>-1126.0900000000001</v>
      </c>
      <c r="T169" s="216">
        <f t="shared" si="79"/>
        <v>0</v>
      </c>
      <c r="U169" s="144">
        <f t="shared" ref="U169:AC169" si="98">SUM(U170:U174)</f>
        <v>0</v>
      </c>
      <c r="V169" s="145">
        <f t="shared" si="98"/>
        <v>0</v>
      </c>
      <c r="W169" s="145">
        <f t="shared" si="98"/>
        <v>0</v>
      </c>
      <c r="X169" s="145">
        <f t="shared" si="98"/>
        <v>0</v>
      </c>
      <c r="Y169" s="145">
        <f t="shared" si="98"/>
        <v>0</v>
      </c>
      <c r="Z169" s="145">
        <f t="shared" si="98"/>
        <v>0</v>
      </c>
      <c r="AA169" s="145">
        <f t="shared" si="98"/>
        <v>0</v>
      </c>
      <c r="AB169" s="145">
        <f t="shared" si="98"/>
        <v>0</v>
      </c>
      <c r="AC169" s="146">
        <f t="shared" si="98"/>
        <v>0</v>
      </c>
      <c r="AD169" s="72">
        <v>27898</v>
      </c>
      <c r="AE169" s="72">
        <f>3100+6388.56+500+200.28+1871.29+390.37+178+4992.93+9381.3+41706.39-13902.13-13902.13+6149.99+21229.56-6499.15-8231.26+235.12+4434.49</f>
        <v>58223.61</v>
      </c>
      <c r="AF169" s="127">
        <f>AE169*100/AD169</f>
        <v>208.70173489139006</v>
      </c>
      <c r="AG169" s="120"/>
    </row>
    <row r="170" spans="1:33" outlineLevel="1" x14ac:dyDescent="0.25">
      <c r="A170" s="5" t="s">
        <v>160</v>
      </c>
      <c r="B170" s="75" t="s">
        <v>840</v>
      </c>
      <c r="C170" s="25" t="s">
        <v>838</v>
      </c>
      <c r="D170" s="92">
        <v>1</v>
      </c>
      <c r="E170" s="110">
        <v>5500</v>
      </c>
      <c r="F170" s="93">
        <f>D170*E170</f>
        <v>5500</v>
      </c>
      <c r="G170" s="74">
        <f t="shared" si="82"/>
        <v>0</v>
      </c>
      <c r="H170" s="95">
        <f t="shared" si="69"/>
        <v>5500</v>
      </c>
      <c r="I170" s="112"/>
      <c r="J170" s="57">
        <v>5500</v>
      </c>
      <c r="K170" s="57"/>
      <c r="L170" s="57"/>
      <c r="M170" s="57"/>
      <c r="N170" s="57"/>
      <c r="O170" s="57"/>
      <c r="P170" s="68"/>
      <c r="Q170" s="58"/>
      <c r="R170" s="170">
        <f>72.35+8.61</f>
        <v>80.959999999999994</v>
      </c>
      <c r="S170" s="89">
        <f t="shared" si="78"/>
        <v>-80.959999999999994</v>
      </c>
      <c r="T170" s="216">
        <f t="shared" si="79"/>
        <v>0</v>
      </c>
      <c r="U170" s="147"/>
      <c r="V170" s="148"/>
      <c r="W170" s="148"/>
      <c r="X170" s="148"/>
      <c r="Y170" s="148"/>
      <c r="Z170" s="148"/>
      <c r="AA170" s="148"/>
      <c r="AB170" s="149"/>
      <c r="AC170" s="150"/>
      <c r="AD170" s="76"/>
      <c r="AE170" s="76"/>
      <c r="AF170" s="128"/>
    </row>
    <row r="171" spans="1:33" outlineLevel="1" x14ac:dyDescent="0.25">
      <c r="A171" s="4" t="s">
        <v>161</v>
      </c>
      <c r="B171" s="75" t="s">
        <v>841</v>
      </c>
      <c r="C171" s="25" t="s">
        <v>839</v>
      </c>
      <c r="D171" s="92">
        <v>1</v>
      </c>
      <c r="E171" s="110">
        <v>5000</v>
      </c>
      <c r="F171" s="93">
        <f>D171*E171</f>
        <v>5000</v>
      </c>
      <c r="G171" s="74">
        <f t="shared" si="82"/>
        <v>0</v>
      </c>
      <c r="H171" s="95">
        <f t="shared" si="69"/>
        <v>5000</v>
      </c>
      <c r="I171" s="112"/>
      <c r="J171" s="57">
        <v>5000</v>
      </c>
      <c r="K171" s="57"/>
      <c r="L171" s="57"/>
      <c r="M171" s="57"/>
      <c r="N171" s="57"/>
      <c r="O171" s="57"/>
      <c r="P171" s="68"/>
      <c r="Q171" s="58"/>
      <c r="R171" s="170">
        <v>1045.1300000000001</v>
      </c>
      <c r="S171" s="89">
        <f t="shared" si="78"/>
        <v>-1045.1300000000001</v>
      </c>
      <c r="T171" s="216">
        <f t="shared" si="79"/>
        <v>0</v>
      </c>
      <c r="U171" s="147"/>
      <c r="V171" s="148"/>
      <c r="W171" s="148"/>
      <c r="X171" s="148"/>
      <c r="Y171" s="148"/>
      <c r="Z171" s="148"/>
      <c r="AA171" s="148"/>
      <c r="AB171" s="149"/>
      <c r="AC171" s="150"/>
      <c r="AD171" s="76"/>
      <c r="AE171" s="76"/>
      <c r="AF171" s="128"/>
    </row>
    <row r="172" spans="1:33" outlineLevel="1" x14ac:dyDescent="0.25">
      <c r="A172" s="4" t="s">
        <v>162</v>
      </c>
      <c r="B172" s="75" t="s">
        <v>842</v>
      </c>
      <c r="C172" s="25" t="s">
        <v>838</v>
      </c>
      <c r="D172" s="92">
        <v>1</v>
      </c>
      <c r="E172" s="110">
        <v>8000</v>
      </c>
      <c r="F172" s="93">
        <f>D172*E172</f>
        <v>8000</v>
      </c>
      <c r="G172" s="74">
        <f t="shared" si="82"/>
        <v>0</v>
      </c>
      <c r="H172" s="95">
        <f t="shared" si="69"/>
        <v>8000</v>
      </c>
      <c r="I172" s="112"/>
      <c r="J172" s="57">
        <v>8000</v>
      </c>
      <c r="K172" s="57"/>
      <c r="L172" s="57"/>
      <c r="M172" s="57"/>
      <c r="N172" s="57"/>
      <c r="O172" s="57"/>
      <c r="P172" s="68"/>
      <c r="Q172" s="58"/>
      <c r="R172" s="170">
        <f>P172*Q172</f>
        <v>0</v>
      </c>
      <c r="S172" s="89">
        <f t="shared" si="78"/>
        <v>0</v>
      </c>
      <c r="T172" s="216">
        <f t="shared" si="79"/>
        <v>0</v>
      </c>
      <c r="U172" s="147"/>
      <c r="V172" s="148"/>
      <c r="W172" s="148"/>
      <c r="X172" s="148"/>
      <c r="Y172" s="148"/>
      <c r="Z172" s="148"/>
      <c r="AA172" s="148"/>
      <c r="AB172" s="149"/>
      <c r="AC172" s="150"/>
      <c r="AD172" s="76"/>
      <c r="AE172" s="76"/>
      <c r="AF172" s="128"/>
      <c r="AG172" s="108"/>
    </row>
    <row r="173" spans="1:33" outlineLevel="1" x14ac:dyDescent="0.25">
      <c r="A173" s="4" t="s">
        <v>163</v>
      </c>
      <c r="B173" s="75" t="s">
        <v>843</v>
      </c>
      <c r="C173" s="25" t="s">
        <v>838</v>
      </c>
      <c r="D173" s="92">
        <v>1</v>
      </c>
      <c r="E173" s="110">
        <v>8000</v>
      </c>
      <c r="F173" s="93">
        <f>D173*E173</f>
        <v>8000</v>
      </c>
      <c r="G173" s="74">
        <f t="shared" si="82"/>
        <v>0</v>
      </c>
      <c r="H173" s="95">
        <f t="shared" si="69"/>
        <v>8000</v>
      </c>
      <c r="I173" s="112"/>
      <c r="J173" s="57">
        <v>8000</v>
      </c>
      <c r="K173" s="57"/>
      <c r="L173" s="57"/>
      <c r="M173" s="57"/>
      <c r="N173" s="57"/>
      <c r="O173" s="57"/>
      <c r="P173" s="68"/>
      <c r="Q173" s="58"/>
      <c r="R173" s="170">
        <f>P173*Q173</f>
        <v>0</v>
      </c>
      <c r="S173" s="89">
        <f t="shared" si="78"/>
        <v>0</v>
      </c>
      <c r="T173" s="216">
        <f t="shared" si="79"/>
        <v>0</v>
      </c>
      <c r="U173" s="147"/>
      <c r="V173" s="148"/>
      <c r="W173" s="148"/>
      <c r="X173" s="148"/>
      <c r="Y173" s="148"/>
      <c r="Z173" s="148"/>
      <c r="AA173" s="148"/>
      <c r="AB173" s="149"/>
      <c r="AC173" s="150"/>
      <c r="AD173" s="76"/>
      <c r="AE173" s="76"/>
      <c r="AF173" s="128"/>
    </row>
    <row r="174" spans="1:33" outlineLevel="1" x14ac:dyDescent="0.25">
      <c r="A174" s="4" t="s">
        <v>164</v>
      </c>
      <c r="B174" s="75" t="s">
        <v>996</v>
      </c>
      <c r="C174" s="25"/>
      <c r="D174" s="92">
        <v>1</v>
      </c>
      <c r="E174" s="110">
        <v>3000</v>
      </c>
      <c r="F174" s="93">
        <f>D174*E174</f>
        <v>3000</v>
      </c>
      <c r="G174" s="74">
        <f t="shared" si="82"/>
        <v>0</v>
      </c>
      <c r="H174" s="95">
        <f t="shared" si="69"/>
        <v>3000</v>
      </c>
      <c r="I174" s="112"/>
      <c r="J174" s="57">
        <v>3000</v>
      </c>
      <c r="K174" s="57"/>
      <c r="L174" s="57"/>
      <c r="M174" s="57"/>
      <c r="N174" s="57"/>
      <c r="O174" s="57"/>
      <c r="P174" s="68"/>
      <c r="Q174" s="58"/>
      <c r="R174" s="170">
        <f>P174*Q174</f>
        <v>0</v>
      </c>
      <c r="S174" s="89">
        <f t="shared" si="78"/>
        <v>0</v>
      </c>
      <c r="T174" s="216">
        <f t="shared" si="79"/>
        <v>0</v>
      </c>
      <c r="U174" s="147"/>
      <c r="V174" s="148"/>
      <c r="W174" s="148"/>
      <c r="X174" s="148"/>
      <c r="Y174" s="148"/>
      <c r="Z174" s="148"/>
      <c r="AA174" s="148"/>
      <c r="AB174" s="149"/>
      <c r="AC174" s="150"/>
      <c r="AD174" s="76"/>
      <c r="AE174" s="76"/>
      <c r="AF174" s="128"/>
    </row>
    <row r="175" spans="1:33" s="3" customFormat="1" ht="15.75" x14ac:dyDescent="0.25">
      <c r="A175" s="7" t="s">
        <v>167</v>
      </c>
      <c r="B175" s="13" t="s">
        <v>313</v>
      </c>
      <c r="C175" s="23"/>
      <c r="D175" s="24"/>
      <c r="E175" s="17"/>
      <c r="F175" s="82">
        <f>SUM(F176:F180)</f>
        <v>53500</v>
      </c>
      <c r="G175" s="89">
        <f t="shared" si="82"/>
        <v>0</v>
      </c>
      <c r="H175" s="18">
        <f t="shared" si="69"/>
        <v>53500</v>
      </c>
      <c r="I175" s="54">
        <f t="shared" ref="I175:Q175" si="99">SUM(I176:I180)</f>
        <v>0</v>
      </c>
      <c r="J175" s="55">
        <f t="shared" si="99"/>
        <v>53500</v>
      </c>
      <c r="K175" s="55">
        <f t="shared" si="99"/>
        <v>0</v>
      </c>
      <c r="L175" s="55">
        <f t="shared" si="99"/>
        <v>0</v>
      </c>
      <c r="M175" s="55">
        <f t="shared" si="99"/>
        <v>0</v>
      </c>
      <c r="N175" s="55">
        <f t="shared" si="99"/>
        <v>0</v>
      </c>
      <c r="O175" s="55">
        <f t="shared" si="99"/>
        <v>0</v>
      </c>
      <c r="P175" s="55">
        <f t="shared" si="99"/>
        <v>0</v>
      </c>
      <c r="Q175" s="56">
        <f t="shared" si="99"/>
        <v>0</v>
      </c>
      <c r="R175" s="169">
        <f>SUM(R176:R180)</f>
        <v>7831.01</v>
      </c>
      <c r="S175" s="89">
        <f t="shared" si="78"/>
        <v>-7831.01</v>
      </c>
      <c r="T175" s="216">
        <f t="shared" si="79"/>
        <v>0</v>
      </c>
      <c r="U175" s="144">
        <f>SUM(U176:U180)</f>
        <v>0</v>
      </c>
      <c r="V175" s="145">
        <f t="shared" ref="V175:AC175" si="100">SUM(V176:V180)</f>
        <v>0</v>
      </c>
      <c r="W175" s="145">
        <f t="shared" si="100"/>
        <v>0</v>
      </c>
      <c r="X175" s="145">
        <f t="shared" si="100"/>
        <v>0</v>
      </c>
      <c r="Y175" s="145">
        <f t="shared" si="100"/>
        <v>0</v>
      </c>
      <c r="Z175" s="145">
        <f t="shared" si="100"/>
        <v>0</v>
      </c>
      <c r="AA175" s="145">
        <f t="shared" si="100"/>
        <v>0</v>
      </c>
      <c r="AB175" s="145">
        <f t="shared" si="100"/>
        <v>0</v>
      </c>
      <c r="AC175" s="146">
        <f t="shared" si="100"/>
        <v>0</v>
      </c>
      <c r="AD175" s="33">
        <v>52000</v>
      </c>
      <c r="AE175" s="33">
        <f>SUM(AE176:AE180)</f>
        <v>0</v>
      </c>
      <c r="AF175" s="127">
        <f>AE175*100/AD175</f>
        <v>0</v>
      </c>
    </row>
    <row r="176" spans="1:33" outlineLevel="1" x14ac:dyDescent="0.25">
      <c r="A176" s="4" t="s">
        <v>168</v>
      </c>
      <c r="B176" s="75" t="s">
        <v>844</v>
      </c>
      <c r="C176" s="25"/>
      <c r="D176" s="92">
        <v>1</v>
      </c>
      <c r="E176" s="110">
        <v>15000</v>
      </c>
      <c r="F176" s="93">
        <f>D176*E176</f>
        <v>15000</v>
      </c>
      <c r="G176" s="74">
        <f t="shared" si="82"/>
        <v>0</v>
      </c>
      <c r="H176" s="95">
        <f t="shared" si="69"/>
        <v>15000</v>
      </c>
      <c r="I176" s="112"/>
      <c r="J176" s="57">
        <v>15000</v>
      </c>
      <c r="K176" s="57"/>
      <c r="L176" s="57"/>
      <c r="M176" s="57"/>
      <c r="N176" s="57"/>
      <c r="O176" s="57"/>
      <c r="P176" s="68"/>
      <c r="Q176" s="58"/>
      <c r="R176" s="170">
        <f>P176*Q176</f>
        <v>0</v>
      </c>
      <c r="S176" s="89">
        <f t="shared" si="78"/>
        <v>0</v>
      </c>
      <c r="T176" s="216">
        <f t="shared" si="79"/>
        <v>0</v>
      </c>
      <c r="U176" s="147"/>
      <c r="V176" s="148"/>
      <c r="W176" s="148"/>
      <c r="X176" s="148"/>
      <c r="Y176" s="148"/>
      <c r="Z176" s="148"/>
      <c r="AA176" s="148"/>
      <c r="AB176" s="149"/>
      <c r="AC176" s="150"/>
      <c r="AD176" s="76"/>
      <c r="AE176" s="76"/>
      <c r="AF176" s="128"/>
    </row>
    <row r="177" spans="1:32" outlineLevel="1" x14ac:dyDescent="0.25">
      <c r="A177" s="4" t="s">
        <v>169</v>
      </c>
      <c r="B177" s="75" t="s">
        <v>845</v>
      </c>
      <c r="C177" s="25"/>
      <c r="D177" s="92">
        <v>1</v>
      </c>
      <c r="E177" s="110">
        <v>15000</v>
      </c>
      <c r="F177" s="93">
        <f>D177*E177</f>
        <v>15000</v>
      </c>
      <c r="G177" s="74">
        <f t="shared" si="82"/>
        <v>0</v>
      </c>
      <c r="H177" s="95">
        <f t="shared" si="69"/>
        <v>15000</v>
      </c>
      <c r="I177" s="112"/>
      <c r="J177" s="57">
        <v>15000</v>
      </c>
      <c r="K177" s="57"/>
      <c r="L177" s="57"/>
      <c r="M177" s="57"/>
      <c r="N177" s="57"/>
      <c r="O177" s="57"/>
      <c r="P177" s="68"/>
      <c r="Q177" s="58"/>
      <c r="R177" s="170">
        <f>P177*Q177</f>
        <v>0</v>
      </c>
      <c r="S177" s="89">
        <f t="shared" si="78"/>
        <v>0</v>
      </c>
      <c r="T177" s="216">
        <f t="shared" si="79"/>
        <v>0</v>
      </c>
      <c r="U177" s="147"/>
      <c r="V177" s="148"/>
      <c r="W177" s="148"/>
      <c r="X177" s="148"/>
      <c r="Y177" s="148"/>
      <c r="Z177" s="148"/>
      <c r="AA177" s="148"/>
      <c r="AB177" s="149"/>
      <c r="AC177" s="150"/>
      <c r="AD177" s="76"/>
      <c r="AE177" s="76"/>
      <c r="AF177" s="128"/>
    </row>
    <row r="178" spans="1:32" outlineLevel="1" x14ac:dyDescent="0.25">
      <c r="A178" s="4" t="s">
        <v>170</v>
      </c>
      <c r="B178" s="75" t="s">
        <v>846</v>
      </c>
      <c r="C178" s="25"/>
      <c r="D178" s="92">
        <v>1</v>
      </c>
      <c r="E178" s="110">
        <v>8500</v>
      </c>
      <c r="F178" s="93">
        <f>D178*E178</f>
        <v>8500</v>
      </c>
      <c r="G178" s="74">
        <f t="shared" si="82"/>
        <v>0</v>
      </c>
      <c r="H178" s="95">
        <f t="shared" si="69"/>
        <v>8500</v>
      </c>
      <c r="I178" s="112"/>
      <c r="J178" s="57">
        <v>8500</v>
      </c>
      <c r="K178" s="57"/>
      <c r="L178" s="57"/>
      <c r="M178" s="57"/>
      <c r="N178" s="57"/>
      <c r="O178" s="57"/>
      <c r="P178" s="68"/>
      <c r="Q178" s="58"/>
      <c r="R178" s="170">
        <v>3992.5</v>
      </c>
      <c r="S178" s="89">
        <f t="shared" si="78"/>
        <v>-3992.5</v>
      </c>
      <c r="T178" s="216">
        <f t="shared" si="79"/>
        <v>0</v>
      </c>
      <c r="U178" s="147"/>
      <c r="V178" s="148"/>
      <c r="W178" s="148"/>
      <c r="X178" s="148"/>
      <c r="Y178" s="148"/>
      <c r="Z178" s="148"/>
      <c r="AA178" s="148"/>
      <c r="AB178" s="149"/>
      <c r="AC178" s="150"/>
      <c r="AD178" s="76"/>
      <c r="AE178" s="76"/>
      <c r="AF178" s="128"/>
    </row>
    <row r="179" spans="1:32" outlineLevel="1" x14ac:dyDescent="0.25">
      <c r="A179" s="4" t="s">
        <v>171</v>
      </c>
      <c r="B179" s="75" t="s">
        <v>964</v>
      </c>
      <c r="C179" s="25"/>
      <c r="D179" s="92">
        <v>1</v>
      </c>
      <c r="E179" s="110">
        <v>15000</v>
      </c>
      <c r="F179" s="93">
        <f>D179*E179</f>
        <v>15000</v>
      </c>
      <c r="G179" s="74">
        <f t="shared" si="82"/>
        <v>0</v>
      </c>
      <c r="H179" s="95">
        <f t="shared" si="69"/>
        <v>15000</v>
      </c>
      <c r="I179" s="112"/>
      <c r="J179" s="57">
        <v>15000</v>
      </c>
      <c r="K179" s="57"/>
      <c r="L179" s="57"/>
      <c r="M179" s="57"/>
      <c r="N179" s="57"/>
      <c r="O179" s="57"/>
      <c r="P179" s="68"/>
      <c r="Q179" s="58"/>
      <c r="R179" s="170">
        <v>3782.43</v>
      </c>
      <c r="S179" s="89">
        <f t="shared" si="78"/>
        <v>-3782.43</v>
      </c>
      <c r="T179" s="216">
        <f t="shared" si="79"/>
        <v>0</v>
      </c>
      <c r="U179" s="147"/>
      <c r="V179" s="148"/>
      <c r="W179" s="148"/>
      <c r="X179" s="148"/>
      <c r="Y179" s="148"/>
      <c r="Z179" s="148"/>
      <c r="AA179" s="148"/>
      <c r="AB179" s="149"/>
      <c r="AC179" s="150"/>
      <c r="AD179" s="76"/>
      <c r="AE179" s="76"/>
      <c r="AF179" s="128"/>
    </row>
    <row r="180" spans="1:32" outlineLevel="1" x14ac:dyDescent="0.25">
      <c r="A180" s="4" t="s">
        <v>172</v>
      </c>
      <c r="B180" s="75" t="s">
        <v>47</v>
      </c>
      <c r="C180" s="25"/>
      <c r="D180" s="92"/>
      <c r="E180" s="110"/>
      <c r="F180" s="93"/>
      <c r="G180" s="74">
        <f t="shared" si="82"/>
        <v>0</v>
      </c>
      <c r="H180" s="95">
        <f t="shared" si="69"/>
        <v>0</v>
      </c>
      <c r="I180" s="112"/>
      <c r="J180" s="57"/>
      <c r="K180" s="57"/>
      <c r="L180" s="57"/>
      <c r="M180" s="57"/>
      <c r="N180" s="57"/>
      <c r="O180" s="57"/>
      <c r="P180" s="68"/>
      <c r="Q180" s="58"/>
      <c r="R180" s="170">
        <v>56.08</v>
      </c>
      <c r="S180" s="89">
        <f t="shared" si="78"/>
        <v>-56.08</v>
      </c>
      <c r="T180" s="216">
        <f t="shared" si="79"/>
        <v>0</v>
      </c>
      <c r="U180" s="147"/>
      <c r="V180" s="148"/>
      <c r="W180" s="148"/>
      <c r="X180" s="148"/>
      <c r="Y180" s="148"/>
      <c r="Z180" s="148"/>
      <c r="AA180" s="148"/>
      <c r="AB180" s="149"/>
      <c r="AC180" s="150"/>
      <c r="AD180" s="76"/>
      <c r="AE180" s="76"/>
      <c r="AF180" s="128"/>
    </row>
    <row r="181" spans="1:32" s="3" customFormat="1" ht="15.75" x14ac:dyDescent="0.25">
      <c r="A181" s="7" t="s">
        <v>173</v>
      </c>
      <c r="B181" s="13" t="s">
        <v>316</v>
      </c>
      <c r="C181" s="23"/>
      <c r="D181" s="24"/>
      <c r="E181" s="17"/>
      <c r="F181" s="82">
        <f>SUM(F182:F184)</f>
        <v>6300</v>
      </c>
      <c r="G181" s="89">
        <f t="shared" si="82"/>
        <v>0</v>
      </c>
      <c r="H181" s="18">
        <f t="shared" si="69"/>
        <v>6300</v>
      </c>
      <c r="I181" s="54">
        <f t="shared" ref="I181:Q181" si="101">SUM(I182:I184)</f>
        <v>0</v>
      </c>
      <c r="J181" s="55">
        <f t="shared" si="101"/>
        <v>6300</v>
      </c>
      <c r="K181" s="55">
        <f t="shared" si="101"/>
        <v>0</v>
      </c>
      <c r="L181" s="55">
        <f t="shared" si="101"/>
        <v>0</v>
      </c>
      <c r="M181" s="55">
        <f t="shared" si="101"/>
        <v>0</v>
      </c>
      <c r="N181" s="55">
        <f t="shared" si="101"/>
        <v>0</v>
      </c>
      <c r="O181" s="55">
        <f t="shared" si="101"/>
        <v>0</v>
      </c>
      <c r="P181" s="55">
        <f t="shared" si="101"/>
        <v>0</v>
      </c>
      <c r="Q181" s="56">
        <f t="shared" si="101"/>
        <v>0</v>
      </c>
      <c r="R181" s="169">
        <f>SUM(R182:R184)</f>
        <v>0</v>
      </c>
      <c r="S181" s="89">
        <f t="shared" si="78"/>
        <v>0</v>
      </c>
      <c r="T181" s="216">
        <f t="shared" si="79"/>
        <v>0</v>
      </c>
      <c r="U181" s="144">
        <f>SUM(U182:U184)</f>
        <v>0</v>
      </c>
      <c r="V181" s="145">
        <f t="shared" ref="V181:AC181" si="102">SUM(V182:V184)</f>
        <v>0</v>
      </c>
      <c r="W181" s="145">
        <f t="shared" si="102"/>
        <v>0</v>
      </c>
      <c r="X181" s="145">
        <f t="shared" si="102"/>
        <v>0</v>
      </c>
      <c r="Y181" s="145">
        <f t="shared" si="102"/>
        <v>0</v>
      </c>
      <c r="Z181" s="145">
        <f t="shared" si="102"/>
        <v>0</v>
      </c>
      <c r="AA181" s="145">
        <f t="shared" si="102"/>
        <v>0</v>
      </c>
      <c r="AB181" s="145">
        <f t="shared" si="102"/>
        <v>0</v>
      </c>
      <c r="AC181" s="146">
        <f t="shared" si="102"/>
        <v>0</v>
      </c>
      <c r="AD181" s="33">
        <v>6000</v>
      </c>
      <c r="AE181" s="33">
        <f>SUM(AE182:AE184)</f>
        <v>0</v>
      </c>
      <c r="AF181" s="127">
        <f>AE181*100/AD181</f>
        <v>0</v>
      </c>
    </row>
    <row r="182" spans="1:32" outlineLevel="1" x14ac:dyDescent="0.25">
      <c r="A182" s="4" t="s">
        <v>174</v>
      </c>
      <c r="B182" s="75" t="s">
        <v>850</v>
      </c>
      <c r="C182" s="25" t="s">
        <v>847</v>
      </c>
      <c r="D182" s="92">
        <v>1</v>
      </c>
      <c r="E182" s="110">
        <v>2500</v>
      </c>
      <c r="F182" s="93">
        <f>D182*E182</f>
        <v>2500</v>
      </c>
      <c r="G182" s="74">
        <f t="shared" si="82"/>
        <v>0</v>
      </c>
      <c r="H182" s="95">
        <f t="shared" si="69"/>
        <v>2500</v>
      </c>
      <c r="I182" s="112"/>
      <c r="J182" s="57">
        <v>2500</v>
      </c>
      <c r="K182" s="57"/>
      <c r="L182" s="57"/>
      <c r="M182" s="57"/>
      <c r="N182" s="57"/>
      <c r="O182" s="57"/>
      <c r="P182" s="68"/>
      <c r="Q182" s="58"/>
      <c r="R182" s="170"/>
      <c r="S182" s="89">
        <f t="shared" si="78"/>
        <v>0</v>
      </c>
      <c r="T182" s="216">
        <f t="shared" si="79"/>
        <v>0</v>
      </c>
      <c r="U182" s="147"/>
      <c r="V182" s="148"/>
      <c r="W182" s="148"/>
      <c r="X182" s="148"/>
      <c r="Y182" s="148"/>
      <c r="Z182" s="148"/>
      <c r="AA182" s="148"/>
      <c r="AB182" s="149"/>
      <c r="AC182" s="150"/>
      <c r="AD182" s="76"/>
      <c r="AE182" s="76"/>
      <c r="AF182" s="128"/>
    </row>
    <row r="183" spans="1:32" outlineLevel="1" x14ac:dyDescent="0.25">
      <c r="A183" s="4" t="s">
        <v>175</v>
      </c>
      <c r="B183" s="75" t="s">
        <v>851</v>
      </c>
      <c r="C183" s="25" t="s">
        <v>848</v>
      </c>
      <c r="D183" s="92">
        <v>1</v>
      </c>
      <c r="E183" s="110">
        <v>2300</v>
      </c>
      <c r="F183" s="93">
        <f>D183*E183</f>
        <v>2300</v>
      </c>
      <c r="G183" s="74">
        <f t="shared" si="82"/>
        <v>0</v>
      </c>
      <c r="H183" s="95">
        <f t="shared" si="69"/>
        <v>2300</v>
      </c>
      <c r="I183" s="112"/>
      <c r="J183" s="57">
        <v>2300</v>
      </c>
      <c r="K183" s="57"/>
      <c r="L183" s="57"/>
      <c r="M183" s="57"/>
      <c r="N183" s="57"/>
      <c r="O183" s="57"/>
      <c r="P183" s="68"/>
      <c r="Q183" s="58"/>
      <c r="R183" s="170">
        <f>P183*Q183</f>
        <v>0</v>
      </c>
      <c r="S183" s="89">
        <f t="shared" si="78"/>
        <v>0</v>
      </c>
      <c r="T183" s="216">
        <f t="shared" si="79"/>
        <v>0</v>
      </c>
      <c r="U183" s="147"/>
      <c r="V183" s="148"/>
      <c r="W183" s="148"/>
      <c r="X183" s="148"/>
      <c r="Y183" s="148"/>
      <c r="Z183" s="148"/>
      <c r="AA183" s="148"/>
      <c r="AB183" s="149"/>
      <c r="AC183" s="150"/>
      <c r="AD183" s="76"/>
      <c r="AE183" s="76"/>
      <c r="AF183" s="128"/>
    </row>
    <row r="184" spans="1:32" outlineLevel="1" x14ac:dyDescent="0.25">
      <c r="A184" s="4" t="s">
        <v>176</v>
      </c>
      <c r="B184" s="75" t="s">
        <v>995</v>
      </c>
      <c r="C184" s="25" t="s">
        <v>849</v>
      </c>
      <c r="D184" s="92">
        <v>1</v>
      </c>
      <c r="E184" s="110">
        <v>1500</v>
      </c>
      <c r="F184" s="93">
        <f>D184*E184</f>
        <v>1500</v>
      </c>
      <c r="G184" s="74">
        <f t="shared" si="82"/>
        <v>0</v>
      </c>
      <c r="H184" s="95">
        <f t="shared" si="69"/>
        <v>1500</v>
      </c>
      <c r="I184" s="112"/>
      <c r="J184" s="57">
        <v>1500</v>
      </c>
      <c r="K184" s="57"/>
      <c r="L184" s="57"/>
      <c r="M184" s="57"/>
      <c r="N184" s="57"/>
      <c r="O184" s="57"/>
      <c r="P184" s="68"/>
      <c r="Q184" s="58"/>
      <c r="R184" s="170">
        <f>P184*Q184</f>
        <v>0</v>
      </c>
      <c r="S184" s="89">
        <f t="shared" si="78"/>
        <v>0</v>
      </c>
      <c r="T184" s="216">
        <f t="shared" si="79"/>
        <v>0</v>
      </c>
      <c r="U184" s="147"/>
      <c r="V184" s="148"/>
      <c r="W184" s="148"/>
      <c r="X184" s="148"/>
      <c r="Y184" s="148"/>
      <c r="Z184" s="148"/>
      <c r="AA184" s="148"/>
      <c r="AB184" s="149"/>
      <c r="AC184" s="150"/>
      <c r="AD184" s="76"/>
      <c r="AE184" s="76"/>
      <c r="AF184" s="128"/>
    </row>
    <row r="185" spans="1:32" s="3" customFormat="1" ht="15.75" x14ac:dyDescent="0.25">
      <c r="A185" s="7" t="s">
        <v>178</v>
      </c>
      <c r="B185" s="13" t="s">
        <v>314</v>
      </c>
      <c r="C185" s="23"/>
      <c r="D185" s="24"/>
      <c r="E185" s="17"/>
      <c r="F185" s="82">
        <f>SUM(F186:F187)</f>
        <v>8800</v>
      </c>
      <c r="G185" s="89">
        <f t="shared" si="82"/>
        <v>0</v>
      </c>
      <c r="H185" s="18">
        <f t="shared" si="69"/>
        <v>8800</v>
      </c>
      <c r="I185" s="54">
        <f t="shared" ref="I185:Q185" si="103">SUM(I186:I187)</f>
        <v>0</v>
      </c>
      <c r="J185" s="55">
        <f t="shared" si="103"/>
        <v>8800</v>
      </c>
      <c r="K185" s="55">
        <f t="shared" si="103"/>
        <v>0</v>
      </c>
      <c r="L185" s="55">
        <f t="shared" si="103"/>
        <v>0</v>
      </c>
      <c r="M185" s="55">
        <f t="shared" si="103"/>
        <v>0</v>
      </c>
      <c r="N185" s="55">
        <f t="shared" si="103"/>
        <v>0</v>
      </c>
      <c r="O185" s="55">
        <f t="shared" si="103"/>
        <v>0</v>
      </c>
      <c r="P185" s="55">
        <f t="shared" si="103"/>
        <v>0</v>
      </c>
      <c r="Q185" s="56">
        <f t="shared" si="103"/>
        <v>0</v>
      </c>
      <c r="R185" s="169">
        <f>SUM(R186:R187)</f>
        <v>0</v>
      </c>
      <c r="S185" s="89">
        <f t="shared" si="78"/>
        <v>0</v>
      </c>
      <c r="T185" s="216">
        <f t="shared" si="79"/>
        <v>0</v>
      </c>
      <c r="U185" s="144">
        <f>SUM(U186:U187)</f>
        <v>0</v>
      </c>
      <c r="V185" s="145">
        <f t="shared" ref="V185:AC185" si="104">SUM(V186:V187)</f>
        <v>0</v>
      </c>
      <c r="W185" s="145">
        <f t="shared" si="104"/>
        <v>0</v>
      </c>
      <c r="X185" s="145">
        <f t="shared" si="104"/>
        <v>0</v>
      </c>
      <c r="Y185" s="145">
        <f t="shared" si="104"/>
        <v>0</v>
      </c>
      <c r="Z185" s="145">
        <f t="shared" si="104"/>
        <v>0</v>
      </c>
      <c r="AA185" s="145">
        <f t="shared" si="104"/>
        <v>0</v>
      </c>
      <c r="AB185" s="145">
        <f t="shared" si="104"/>
        <v>0</v>
      </c>
      <c r="AC185" s="146">
        <f t="shared" si="104"/>
        <v>0</v>
      </c>
      <c r="AD185" s="33">
        <v>8000</v>
      </c>
      <c r="AE185" s="33">
        <f>SUM(AE186:AE187)</f>
        <v>0</v>
      </c>
      <c r="AF185" s="127">
        <f>AE185*100/AD185</f>
        <v>0</v>
      </c>
    </row>
    <row r="186" spans="1:32" outlineLevel="1" x14ac:dyDescent="0.25">
      <c r="A186" s="4" t="s">
        <v>180</v>
      </c>
      <c r="B186" s="75" t="s">
        <v>853</v>
      </c>
      <c r="C186" s="25" t="s">
        <v>852</v>
      </c>
      <c r="D186" s="92">
        <v>1</v>
      </c>
      <c r="E186" s="110">
        <v>8800</v>
      </c>
      <c r="F186" s="93">
        <f>D186*E186</f>
        <v>8800</v>
      </c>
      <c r="G186" s="74">
        <f t="shared" si="82"/>
        <v>0</v>
      </c>
      <c r="H186" s="95">
        <f t="shared" si="69"/>
        <v>8800</v>
      </c>
      <c r="I186" s="112"/>
      <c r="J186" s="57">
        <v>8800</v>
      </c>
      <c r="K186" s="57"/>
      <c r="L186" s="57"/>
      <c r="M186" s="57"/>
      <c r="N186" s="57"/>
      <c r="O186" s="57"/>
      <c r="P186" s="68"/>
      <c r="Q186" s="58"/>
      <c r="R186" s="170">
        <f>P186*Q186</f>
        <v>0</v>
      </c>
      <c r="S186" s="89">
        <f t="shared" si="78"/>
        <v>0</v>
      </c>
      <c r="T186" s="216">
        <f t="shared" si="79"/>
        <v>0</v>
      </c>
      <c r="U186" s="147"/>
      <c r="V186" s="148"/>
      <c r="W186" s="148"/>
      <c r="X186" s="148"/>
      <c r="Y186" s="148"/>
      <c r="Z186" s="148"/>
      <c r="AA186" s="148"/>
      <c r="AB186" s="149"/>
      <c r="AC186" s="150"/>
      <c r="AD186" s="76"/>
      <c r="AE186" s="76"/>
      <c r="AF186" s="128"/>
    </row>
    <row r="187" spans="1:32" outlineLevel="1" x14ac:dyDescent="0.25">
      <c r="A187" s="4" t="s">
        <v>181</v>
      </c>
      <c r="B187" s="75" t="s">
        <v>47</v>
      </c>
      <c r="C187" s="25"/>
      <c r="D187" s="92"/>
      <c r="E187" s="110"/>
      <c r="F187" s="93">
        <f>D187*E187</f>
        <v>0</v>
      </c>
      <c r="G187" s="74">
        <f t="shared" si="82"/>
        <v>0</v>
      </c>
      <c r="H187" s="95">
        <f t="shared" si="69"/>
        <v>0</v>
      </c>
      <c r="I187" s="112"/>
      <c r="J187" s="57"/>
      <c r="K187" s="57"/>
      <c r="L187" s="57"/>
      <c r="M187" s="57"/>
      <c r="N187" s="57"/>
      <c r="O187" s="57"/>
      <c r="P187" s="68"/>
      <c r="Q187" s="58"/>
      <c r="R187" s="170">
        <f>P187*Q187</f>
        <v>0</v>
      </c>
      <c r="S187" s="89">
        <f t="shared" si="78"/>
        <v>0</v>
      </c>
      <c r="T187" s="216">
        <f t="shared" si="79"/>
        <v>0</v>
      </c>
      <c r="U187" s="147"/>
      <c r="V187" s="148"/>
      <c r="W187" s="148"/>
      <c r="X187" s="148"/>
      <c r="Y187" s="148"/>
      <c r="Z187" s="148"/>
      <c r="AA187" s="148"/>
      <c r="AB187" s="149"/>
      <c r="AC187" s="150"/>
      <c r="AD187" s="76"/>
      <c r="AE187" s="76"/>
      <c r="AF187" s="128"/>
    </row>
    <row r="188" spans="1:32" s="3" customFormat="1" ht="15.75" x14ac:dyDescent="0.25">
      <c r="A188" s="7" t="s">
        <v>182</v>
      </c>
      <c r="B188" s="13" t="s">
        <v>315</v>
      </c>
      <c r="C188" s="23"/>
      <c r="D188" s="24"/>
      <c r="E188" s="17"/>
      <c r="F188" s="82">
        <f>SUM(F189:F190)</f>
        <v>10000</v>
      </c>
      <c r="G188" s="89">
        <f t="shared" si="82"/>
        <v>0</v>
      </c>
      <c r="H188" s="18">
        <f t="shared" si="69"/>
        <v>10000</v>
      </c>
      <c r="I188" s="54">
        <f t="shared" ref="I188:Q188" si="105">SUM(I189:I190)</f>
        <v>0</v>
      </c>
      <c r="J188" s="55">
        <f t="shared" si="105"/>
        <v>5160</v>
      </c>
      <c r="K188" s="55">
        <f t="shared" si="105"/>
        <v>4840</v>
      </c>
      <c r="L188" s="55">
        <f t="shared" si="105"/>
        <v>0</v>
      </c>
      <c r="M188" s="55">
        <f t="shared" si="105"/>
        <v>0</v>
      </c>
      <c r="N188" s="55">
        <f t="shared" si="105"/>
        <v>0</v>
      </c>
      <c r="O188" s="55">
        <f t="shared" si="105"/>
        <v>0</v>
      </c>
      <c r="P188" s="55">
        <f t="shared" si="105"/>
        <v>0</v>
      </c>
      <c r="Q188" s="56">
        <f t="shared" si="105"/>
        <v>0</v>
      </c>
      <c r="R188" s="169">
        <f>SUM(R189:R190)</f>
        <v>4112.24</v>
      </c>
      <c r="S188" s="89">
        <f t="shared" si="78"/>
        <v>-4112.24</v>
      </c>
      <c r="T188" s="216">
        <f t="shared" si="79"/>
        <v>0</v>
      </c>
      <c r="U188" s="144">
        <f>SUM(U189:U190)</f>
        <v>0</v>
      </c>
      <c r="V188" s="145">
        <f t="shared" ref="V188:AC188" si="106">SUM(V189:V190)</f>
        <v>0</v>
      </c>
      <c r="W188" s="145">
        <f t="shared" si="106"/>
        <v>0</v>
      </c>
      <c r="X188" s="145">
        <f t="shared" si="106"/>
        <v>0</v>
      </c>
      <c r="Y188" s="145">
        <f t="shared" si="106"/>
        <v>0</v>
      </c>
      <c r="Z188" s="145">
        <f t="shared" si="106"/>
        <v>0</v>
      </c>
      <c r="AA188" s="145">
        <f t="shared" si="106"/>
        <v>0</v>
      </c>
      <c r="AB188" s="145">
        <f t="shared" si="106"/>
        <v>0</v>
      </c>
      <c r="AC188" s="146">
        <f t="shared" si="106"/>
        <v>0</v>
      </c>
      <c r="AD188" s="33"/>
      <c r="AE188" s="33">
        <f>SUM(AE189:AE190)</f>
        <v>0</v>
      </c>
      <c r="AF188" s="127"/>
    </row>
    <row r="189" spans="1:32" outlineLevel="1" x14ac:dyDescent="0.25">
      <c r="A189" s="4" t="s">
        <v>184</v>
      </c>
      <c r="B189" s="75" t="s">
        <v>854</v>
      </c>
      <c r="C189" s="25"/>
      <c r="D189" s="92">
        <v>1</v>
      </c>
      <c r="E189" s="110">
        <v>10000</v>
      </c>
      <c r="F189" s="93">
        <f>D189*E189</f>
        <v>10000</v>
      </c>
      <c r="G189" s="74">
        <f t="shared" si="82"/>
        <v>0</v>
      </c>
      <c r="H189" s="95">
        <f t="shared" ref="H189:H253" si="107">SUM(I189:Q189)</f>
        <v>10000</v>
      </c>
      <c r="I189" s="112"/>
      <c r="J189" s="57">
        <f>5667-507</f>
        <v>5160</v>
      </c>
      <c r="K189" s="57">
        <v>4840</v>
      </c>
      <c r="L189" s="57"/>
      <c r="M189" s="57"/>
      <c r="N189" s="57"/>
      <c r="O189" s="57"/>
      <c r="P189" s="68"/>
      <c r="Q189" s="58"/>
      <c r="R189" s="170">
        <f>P189*Q189</f>
        <v>0</v>
      </c>
      <c r="S189" s="89">
        <f t="shared" si="78"/>
        <v>0</v>
      </c>
      <c r="T189" s="216">
        <f t="shared" si="79"/>
        <v>0</v>
      </c>
      <c r="U189" s="147"/>
      <c r="V189" s="148"/>
      <c r="W189" s="148"/>
      <c r="X189" s="148"/>
      <c r="Y189" s="148"/>
      <c r="Z189" s="148"/>
      <c r="AA189" s="148"/>
      <c r="AB189" s="149"/>
      <c r="AC189" s="150"/>
      <c r="AD189" s="76"/>
      <c r="AE189" s="76"/>
      <c r="AF189" s="128"/>
    </row>
    <row r="190" spans="1:32" outlineLevel="1" x14ac:dyDescent="0.25">
      <c r="A190" s="4" t="s">
        <v>185</v>
      </c>
      <c r="B190" s="75" t="s">
        <v>47</v>
      </c>
      <c r="C190" s="25"/>
      <c r="D190" s="92"/>
      <c r="E190" s="110"/>
      <c r="F190" s="93"/>
      <c r="G190" s="74">
        <f t="shared" si="82"/>
        <v>0</v>
      </c>
      <c r="H190" s="95">
        <f t="shared" si="107"/>
        <v>0</v>
      </c>
      <c r="I190" s="112"/>
      <c r="J190" s="57"/>
      <c r="K190" s="57"/>
      <c r="L190" s="57"/>
      <c r="M190" s="57"/>
      <c r="N190" s="57"/>
      <c r="O190" s="57"/>
      <c r="P190" s="68"/>
      <c r="Q190" s="58"/>
      <c r="R190" s="170">
        <v>4112.24</v>
      </c>
      <c r="S190" s="89">
        <f t="shared" si="78"/>
        <v>-4112.24</v>
      </c>
      <c r="T190" s="216">
        <f t="shared" si="79"/>
        <v>0</v>
      </c>
      <c r="U190" s="147"/>
      <c r="V190" s="148"/>
      <c r="W190" s="148"/>
      <c r="X190" s="148"/>
      <c r="Y190" s="148"/>
      <c r="Z190" s="148"/>
      <c r="AA190" s="148"/>
      <c r="AB190" s="149"/>
      <c r="AC190" s="150"/>
      <c r="AD190" s="76"/>
      <c r="AE190" s="76"/>
      <c r="AF190" s="128"/>
    </row>
    <row r="191" spans="1:32" s="3" customFormat="1" ht="15.75" x14ac:dyDescent="0.25">
      <c r="A191" s="7" t="s">
        <v>187</v>
      </c>
      <c r="B191" s="13" t="s">
        <v>227</v>
      </c>
      <c r="C191" s="23"/>
      <c r="D191" s="24"/>
      <c r="E191" s="17"/>
      <c r="F191" s="82">
        <f>SUM(F192:F196)</f>
        <v>30300</v>
      </c>
      <c r="G191" s="89">
        <f t="shared" si="82"/>
        <v>9700</v>
      </c>
      <c r="H191" s="18">
        <f t="shared" si="107"/>
        <v>40000</v>
      </c>
      <c r="I191" s="54">
        <f t="shared" ref="I191:Q191" si="108">SUM(I192:I196)</f>
        <v>0</v>
      </c>
      <c r="J191" s="55">
        <f t="shared" si="108"/>
        <v>40000</v>
      </c>
      <c r="K191" s="55">
        <f t="shared" si="108"/>
        <v>0</v>
      </c>
      <c r="L191" s="55">
        <f t="shared" si="108"/>
        <v>0</v>
      </c>
      <c r="M191" s="55">
        <f t="shared" si="108"/>
        <v>0</v>
      </c>
      <c r="N191" s="55">
        <f t="shared" si="108"/>
        <v>0</v>
      </c>
      <c r="O191" s="55">
        <f t="shared" si="108"/>
        <v>0</v>
      </c>
      <c r="P191" s="55">
        <f t="shared" si="108"/>
        <v>0</v>
      </c>
      <c r="Q191" s="56">
        <f t="shared" si="108"/>
        <v>0</v>
      </c>
      <c r="R191" s="169">
        <f>SUM(R192:R196)</f>
        <v>837.47</v>
      </c>
      <c r="S191" s="89">
        <f t="shared" si="78"/>
        <v>-837.47</v>
      </c>
      <c r="T191" s="216">
        <f t="shared" si="79"/>
        <v>0</v>
      </c>
      <c r="U191" s="144">
        <f>SUM(U192:U196)</f>
        <v>0</v>
      </c>
      <c r="V191" s="145">
        <f t="shared" ref="V191:AC191" si="109">SUM(V192:V196)</f>
        <v>0</v>
      </c>
      <c r="W191" s="145">
        <f t="shared" si="109"/>
        <v>0</v>
      </c>
      <c r="X191" s="145">
        <f t="shared" si="109"/>
        <v>0</v>
      </c>
      <c r="Y191" s="145">
        <f t="shared" si="109"/>
        <v>0</v>
      </c>
      <c r="Z191" s="145">
        <f t="shared" si="109"/>
        <v>0</v>
      </c>
      <c r="AA191" s="145">
        <f t="shared" si="109"/>
        <v>0</v>
      </c>
      <c r="AB191" s="145">
        <f t="shared" si="109"/>
        <v>0</v>
      </c>
      <c r="AC191" s="146">
        <f t="shared" si="109"/>
        <v>0</v>
      </c>
      <c r="AD191" s="33">
        <v>54000</v>
      </c>
      <c r="AE191" s="33">
        <f>5023.84+83.5+1130.03+2048.06+2801.28+13087.23</f>
        <v>24173.940000000002</v>
      </c>
      <c r="AF191" s="127">
        <f>AE191*100/AD191</f>
        <v>44.766555555555556</v>
      </c>
    </row>
    <row r="192" spans="1:32" outlineLevel="1" x14ac:dyDescent="0.25">
      <c r="A192" s="4" t="s">
        <v>189</v>
      </c>
      <c r="B192" s="75" t="s">
        <v>929</v>
      </c>
      <c r="C192" s="25"/>
      <c r="D192" s="92">
        <v>1</v>
      </c>
      <c r="E192" s="110">
        <v>1200</v>
      </c>
      <c r="F192" s="93">
        <f>D192*E192</f>
        <v>1200</v>
      </c>
      <c r="G192" s="74">
        <f t="shared" si="82"/>
        <v>0</v>
      </c>
      <c r="H192" s="95">
        <f t="shared" si="107"/>
        <v>1200</v>
      </c>
      <c r="I192" s="112"/>
      <c r="J192" s="57">
        <v>1200</v>
      </c>
      <c r="K192" s="57"/>
      <c r="L192" s="57"/>
      <c r="M192" s="57"/>
      <c r="N192" s="57"/>
      <c r="O192" s="57"/>
      <c r="P192" s="68"/>
      <c r="Q192" s="58"/>
      <c r="R192" s="170">
        <f>P192*Q192</f>
        <v>0</v>
      </c>
      <c r="S192" s="89">
        <f t="shared" si="78"/>
        <v>0</v>
      </c>
      <c r="T192" s="216">
        <f t="shared" si="79"/>
        <v>0</v>
      </c>
      <c r="U192" s="147"/>
      <c r="V192" s="148"/>
      <c r="W192" s="148"/>
      <c r="X192" s="148"/>
      <c r="Y192" s="148"/>
      <c r="Z192" s="148"/>
      <c r="AA192" s="148"/>
      <c r="AB192" s="149"/>
      <c r="AC192" s="150"/>
      <c r="AD192" s="76"/>
      <c r="AE192" s="76"/>
      <c r="AF192" s="128"/>
    </row>
    <row r="193" spans="1:32" outlineLevel="1" x14ac:dyDescent="0.25">
      <c r="A193" s="4" t="s">
        <v>190</v>
      </c>
      <c r="B193" s="75" t="s">
        <v>930</v>
      </c>
      <c r="C193" s="25"/>
      <c r="D193" s="92">
        <v>1</v>
      </c>
      <c r="E193" s="110">
        <v>24000</v>
      </c>
      <c r="F193" s="93">
        <f>D193*E193</f>
        <v>24000</v>
      </c>
      <c r="G193" s="74">
        <f t="shared" si="82"/>
        <v>9700</v>
      </c>
      <c r="H193" s="95">
        <f t="shared" si="107"/>
        <v>33700</v>
      </c>
      <c r="I193" s="112"/>
      <c r="J193" s="57">
        <f>24000+9700</f>
        <v>33700</v>
      </c>
      <c r="K193" s="57"/>
      <c r="L193" s="57"/>
      <c r="M193" s="57"/>
      <c r="N193" s="57"/>
      <c r="O193" s="57"/>
      <c r="P193" s="68"/>
      <c r="Q193" s="58"/>
      <c r="R193" s="170">
        <f>P193*Q193</f>
        <v>0</v>
      </c>
      <c r="S193" s="89">
        <f t="shared" si="78"/>
        <v>0</v>
      </c>
      <c r="T193" s="216">
        <f t="shared" si="79"/>
        <v>0</v>
      </c>
      <c r="U193" s="147"/>
      <c r="V193" s="148"/>
      <c r="W193" s="148"/>
      <c r="X193" s="148"/>
      <c r="Y193" s="148"/>
      <c r="Z193" s="148"/>
      <c r="AA193" s="148"/>
      <c r="AB193" s="149"/>
      <c r="AC193" s="150"/>
      <c r="AD193" s="76"/>
      <c r="AE193" s="76"/>
      <c r="AF193" s="128"/>
    </row>
    <row r="194" spans="1:32" outlineLevel="1" x14ac:dyDescent="0.25">
      <c r="A194" s="4" t="s">
        <v>191</v>
      </c>
      <c r="B194" s="75" t="s">
        <v>931</v>
      </c>
      <c r="C194" s="25"/>
      <c r="D194" s="92">
        <v>1</v>
      </c>
      <c r="E194" s="110">
        <v>3000</v>
      </c>
      <c r="F194" s="93">
        <f>D194*E194</f>
        <v>3000</v>
      </c>
      <c r="G194" s="74">
        <f t="shared" si="82"/>
        <v>0</v>
      </c>
      <c r="H194" s="95">
        <f t="shared" si="107"/>
        <v>3000</v>
      </c>
      <c r="I194" s="112"/>
      <c r="J194" s="57">
        <v>3000</v>
      </c>
      <c r="K194" s="57"/>
      <c r="L194" s="57"/>
      <c r="M194" s="57"/>
      <c r="N194" s="57"/>
      <c r="O194" s="57"/>
      <c r="P194" s="68"/>
      <c r="Q194" s="58"/>
      <c r="R194" s="170">
        <f>P194*Q194</f>
        <v>0</v>
      </c>
      <c r="S194" s="89">
        <f t="shared" si="78"/>
        <v>0</v>
      </c>
      <c r="T194" s="216">
        <f t="shared" si="79"/>
        <v>0</v>
      </c>
      <c r="U194" s="147"/>
      <c r="V194" s="148"/>
      <c r="W194" s="148"/>
      <c r="X194" s="148"/>
      <c r="Y194" s="148"/>
      <c r="Z194" s="148"/>
      <c r="AA194" s="148"/>
      <c r="AB194" s="149"/>
      <c r="AC194" s="150"/>
      <c r="AD194" s="76"/>
      <c r="AE194" s="76"/>
      <c r="AF194" s="128"/>
    </row>
    <row r="195" spans="1:32" outlineLevel="1" x14ac:dyDescent="0.25">
      <c r="A195" s="4" t="s">
        <v>192</v>
      </c>
      <c r="B195" s="75" t="s">
        <v>932</v>
      </c>
      <c r="C195" s="25"/>
      <c r="D195" s="92">
        <v>1</v>
      </c>
      <c r="E195" s="110">
        <v>2100</v>
      </c>
      <c r="F195" s="93">
        <f>D195*E195</f>
        <v>2100</v>
      </c>
      <c r="G195" s="74">
        <f t="shared" si="82"/>
        <v>0</v>
      </c>
      <c r="H195" s="95">
        <f t="shared" si="107"/>
        <v>2100</v>
      </c>
      <c r="I195" s="112"/>
      <c r="J195" s="57">
        <v>2100</v>
      </c>
      <c r="K195" s="57"/>
      <c r="L195" s="57"/>
      <c r="M195" s="57"/>
      <c r="N195" s="57"/>
      <c r="O195" s="57"/>
      <c r="P195" s="68"/>
      <c r="Q195" s="58"/>
      <c r="R195" s="170">
        <v>309.56</v>
      </c>
      <c r="S195" s="89">
        <f t="shared" si="78"/>
        <v>-309.56</v>
      </c>
      <c r="T195" s="216">
        <f t="shared" si="79"/>
        <v>0</v>
      </c>
      <c r="U195" s="147"/>
      <c r="V195" s="148"/>
      <c r="W195" s="148"/>
      <c r="X195" s="148"/>
      <c r="Y195" s="148"/>
      <c r="Z195" s="148"/>
      <c r="AA195" s="148"/>
      <c r="AB195" s="149"/>
      <c r="AC195" s="150"/>
      <c r="AD195" s="76"/>
      <c r="AE195" s="76"/>
      <c r="AF195" s="128"/>
    </row>
    <row r="196" spans="1:32" outlineLevel="1" x14ac:dyDescent="0.25">
      <c r="A196" s="4" t="s">
        <v>193</v>
      </c>
      <c r="B196" s="75" t="s">
        <v>47</v>
      </c>
      <c r="C196" s="25"/>
      <c r="D196" s="92"/>
      <c r="E196" s="110"/>
      <c r="F196" s="93">
        <f>D196*E196</f>
        <v>0</v>
      </c>
      <c r="G196" s="94">
        <f t="shared" si="82"/>
        <v>0</v>
      </c>
      <c r="H196" s="95">
        <f t="shared" si="107"/>
        <v>0</v>
      </c>
      <c r="I196" s="112"/>
      <c r="J196" s="57"/>
      <c r="K196" s="57"/>
      <c r="L196" s="57"/>
      <c r="M196" s="57"/>
      <c r="N196" s="57"/>
      <c r="O196" s="57"/>
      <c r="P196" s="68"/>
      <c r="Q196" s="58"/>
      <c r="R196" s="170">
        <v>527.91</v>
      </c>
      <c r="S196" s="89">
        <f t="shared" si="78"/>
        <v>-527.91</v>
      </c>
      <c r="T196" s="216">
        <f t="shared" si="79"/>
        <v>0</v>
      </c>
      <c r="U196" s="147"/>
      <c r="V196" s="148"/>
      <c r="W196" s="148"/>
      <c r="X196" s="148"/>
      <c r="Y196" s="148"/>
      <c r="Z196" s="148"/>
      <c r="AA196" s="148"/>
      <c r="AB196" s="149"/>
      <c r="AC196" s="150"/>
      <c r="AD196" s="76"/>
      <c r="AE196" s="76"/>
      <c r="AF196" s="128"/>
    </row>
    <row r="197" spans="1:32" s="3" customFormat="1" ht="15.75" x14ac:dyDescent="0.25">
      <c r="A197" s="7" t="s">
        <v>194</v>
      </c>
      <c r="B197" s="13" t="s">
        <v>317</v>
      </c>
      <c r="C197" s="23"/>
      <c r="D197" s="24"/>
      <c r="E197" s="17"/>
      <c r="F197" s="82">
        <f>SUM(F198:F202)</f>
        <v>4389</v>
      </c>
      <c r="G197" s="89">
        <f t="shared" si="82"/>
        <v>0</v>
      </c>
      <c r="H197" s="18">
        <f t="shared" si="107"/>
        <v>4389</v>
      </c>
      <c r="I197" s="54">
        <f t="shared" ref="I197:Q197" si="110">SUM(I198:I202)</f>
        <v>0</v>
      </c>
      <c r="J197" s="55">
        <f t="shared" si="110"/>
        <v>4389</v>
      </c>
      <c r="K197" s="55">
        <f t="shared" si="110"/>
        <v>0</v>
      </c>
      <c r="L197" s="55">
        <f t="shared" si="110"/>
        <v>0</v>
      </c>
      <c r="M197" s="55">
        <f t="shared" si="110"/>
        <v>0</v>
      </c>
      <c r="N197" s="55">
        <f t="shared" si="110"/>
        <v>0</v>
      </c>
      <c r="O197" s="55">
        <f t="shared" si="110"/>
        <v>0</v>
      </c>
      <c r="P197" s="55">
        <f t="shared" si="110"/>
        <v>0</v>
      </c>
      <c r="Q197" s="56">
        <f t="shared" si="110"/>
        <v>0</v>
      </c>
      <c r="R197" s="169">
        <f>SUM(R198:R203)</f>
        <v>2638.28</v>
      </c>
      <c r="S197" s="89">
        <f t="shared" ref="S197:S260" si="111">T197-R197</f>
        <v>-2638.28</v>
      </c>
      <c r="T197" s="216">
        <f t="shared" ref="T197:T260" si="112">+U197+V197+W197+X197+Y197+Z197+AA197+AB197+AC197</f>
        <v>0</v>
      </c>
      <c r="U197" s="169">
        <f>SUM(U198:U203)</f>
        <v>0</v>
      </c>
      <c r="V197" s="169">
        <f t="shared" ref="V197:AC197" si="113">SUM(V198:V203)</f>
        <v>0</v>
      </c>
      <c r="W197" s="169">
        <f t="shared" si="113"/>
        <v>0</v>
      </c>
      <c r="X197" s="169">
        <f t="shared" si="113"/>
        <v>0</v>
      </c>
      <c r="Y197" s="169">
        <f t="shared" si="113"/>
        <v>0</v>
      </c>
      <c r="Z197" s="169">
        <f t="shared" si="113"/>
        <v>0</v>
      </c>
      <c r="AA197" s="169">
        <f t="shared" si="113"/>
        <v>0</v>
      </c>
      <c r="AB197" s="169">
        <f t="shared" si="113"/>
        <v>0</v>
      </c>
      <c r="AC197" s="169">
        <f t="shared" si="113"/>
        <v>0</v>
      </c>
      <c r="AD197" s="33">
        <v>4000</v>
      </c>
      <c r="AE197" s="33">
        <f>SUM(AE198:AE202)</f>
        <v>0</v>
      </c>
      <c r="AF197" s="127">
        <f>AE197*100/AD197</f>
        <v>0</v>
      </c>
    </row>
    <row r="198" spans="1:32" outlineLevel="1" x14ac:dyDescent="0.25">
      <c r="A198" s="4" t="s">
        <v>196</v>
      </c>
      <c r="B198" s="75" t="s">
        <v>320</v>
      </c>
      <c r="C198" s="25"/>
      <c r="D198" s="92">
        <v>1</v>
      </c>
      <c r="E198" s="110">
        <v>0</v>
      </c>
      <c r="F198" s="93">
        <f>D198*E198</f>
        <v>0</v>
      </c>
      <c r="G198" s="74">
        <f t="shared" si="82"/>
        <v>0</v>
      </c>
      <c r="H198" s="95">
        <f t="shared" si="107"/>
        <v>0</v>
      </c>
      <c r="I198" s="112"/>
      <c r="J198" s="57">
        <v>0</v>
      </c>
      <c r="K198" s="57"/>
      <c r="L198" s="57"/>
      <c r="M198" s="57"/>
      <c r="N198" s="57"/>
      <c r="O198" s="57"/>
      <c r="P198" s="68"/>
      <c r="Q198" s="58"/>
      <c r="R198" s="170">
        <f>P198*Q198</f>
        <v>0</v>
      </c>
      <c r="S198" s="89">
        <f t="shared" si="111"/>
        <v>0</v>
      </c>
      <c r="T198" s="216">
        <f t="shared" si="112"/>
        <v>0</v>
      </c>
      <c r="U198" s="147"/>
      <c r="V198" s="148"/>
      <c r="W198" s="148"/>
      <c r="X198" s="148"/>
      <c r="Y198" s="148"/>
      <c r="Z198" s="148"/>
      <c r="AA198" s="148"/>
      <c r="AB198" s="149"/>
      <c r="AC198" s="150"/>
      <c r="AD198" s="76"/>
      <c r="AE198" s="76"/>
      <c r="AF198" s="128"/>
    </row>
    <row r="199" spans="1:32" outlineLevel="1" x14ac:dyDescent="0.25">
      <c r="A199" s="4" t="s">
        <v>197</v>
      </c>
      <c r="B199" s="75" t="s">
        <v>318</v>
      </c>
      <c r="C199" s="25"/>
      <c r="D199" s="92">
        <v>1</v>
      </c>
      <c r="E199" s="110">
        <v>2759</v>
      </c>
      <c r="F199" s="93">
        <f>D199*E199</f>
        <v>2759</v>
      </c>
      <c r="G199" s="74">
        <f t="shared" si="82"/>
        <v>0</v>
      </c>
      <c r="H199" s="95">
        <f t="shared" si="107"/>
        <v>2759</v>
      </c>
      <c r="I199" s="112"/>
      <c r="J199" s="57">
        <v>2759</v>
      </c>
      <c r="K199" s="57"/>
      <c r="L199" s="57"/>
      <c r="M199" s="57"/>
      <c r="N199" s="57"/>
      <c r="O199" s="57"/>
      <c r="P199" s="68"/>
      <c r="Q199" s="58"/>
      <c r="R199" s="170">
        <f>P199*Q199</f>
        <v>0</v>
      </c>
      <c r="S199" s="89">
        <f t="shared" si="111"/>
        <v>0</v>
      </c>
      <c r="T199" s="216">
        <f t="shared" si="112"/>
        <v>0</v>
      </c>
      <c r="U199" s="147"/>
      <c r="V199" s="148"/>
      <c r="W199" s="148"/>
      <c r="X199" s="148"/>
      <c r="Y199" s="148"/>
      <c r="Z199" s="148"/>
      <c r="AA199" s="148"/>
      <c r="AB199" s="149"/>
      <c r="AC199" s="150"/>
      <c r="AD199" s="76"/>
      <c r="AE199" s="76"/>
      <c r="AF199" s="128"/>
    </row>
    <row r="200" spans="1:32" outlineLevel="1" x14ac:dyDescent="0.25">
      <c r="A200" s="4" t="s">
        <v>198</v>
      </c>
      <c r="B200" s="75" t="s">
        <v>319</v>
      </c>
      <c r="C200" s="25"/>
      <c r="D200" s="92">
        <v>1</v>
      </c>
      <c r="E200" s="110">
        <v>1630</v>
      </c>
      <c r="F200" s="93">
        <f>D200*E200</f>
        <v>1630</v>
      </c>
      <c r="G200" s="74">
        <f t="shared" si="82"/>
        <v>0</v>
      </c>
      <c r="H200" s="95">
        <f t="shared" si="107"/>
        <v>1630</v>
      </c>
      <c r="I200" s="112"/>
      <c r="J200" s="57">
        <v>1630</v>
      </c>
      <c r="K200" s="57"/>
      <c r="L200" s="57"/>
      <c r="M200" s="57"/>
      <c r="N200" s="57"/>
      <c r="O200" s="57"/>
      <c r="P200" s="68"/>
      <c r="Q200" s="58"/>
      <c r="R200" s="170">
        <f>P200*Q200</f>
        <v>0</v>
      </c>
      <c r="S200" s="89">
        <f t="shared" si="111"/>
        <v>0</v>
      </c>
      <c r="T200" s="216">
        <f t="shared" si="112"/>
        <v>0</v>
      </c>
      <c r="U200" s="147"/>
      <c r="V200" s="148"/>
      <c r="W200" s="148"/>
      <c r="X200" s="148"/>
      <c r="Y200" s="148"/>
      <c r="Z200" s="148"/>
      <c r="AA200" s="148"/>
      <c r="AB200" s="149"/>
      <c r="AC200" s="150"/>
      <c r="AD200" s="76"/>
      <c r="AE200" s="76"/>
      <c r="AF200" s="128"/>
    </row>
    <row r="201" spans="1:32" outlineLevel="1" x14ac:dyDescent="0.25">
      <c r="A201" s="4" t="s">
        <v>199</v>
      </c>
      <c r="B201" s="75" t="s">
        <v>321</v>
      </c>
      <c r="C201" s="25"/>
      <c r="D201" s="92">
        <v>1</v>
      </c>
      <c r="E201" s="110">
        <v>0</v>
      </c>
      <c r="F201" s="93">
        <f>D201*E201</f>
        <v>0</v>
      </c>
      <c r="G201" s="74">
        <f t="shared" si="82"/>
        <v>0</v>
      </c>
      <c r="H201" s="95">
        <f t="shared" si="107"/>
        <v>0</v>
      </c>
      <c r="I201" s="112"/>
      <c r="J201" s="57"/>
      <c r="K201" s="57"/>
      <c r="L201" s="57"/>
      <c r="M201" s="57"/>
      <c r="N201" s="57"/>
      <c r="O201" s="57"/>
      <c r="P201" s="68"/>
      <c r="Q201" s="58"/>
      <c r="R201" s="170">
        <f>P201*Q201</f>
        <v>0</v>
      </c>
      <c r="S201" s="89">
        <f t="shared" si="111"/>
        <v>0</v>
      </c>
      <c r="T201" s="216">
        <f t="shared" si="112"/>
        <v>0</v>
      </c>
      <c r="U201" s="147"/>
      <c r="V201" s="148"/>
      <c r="W201" s="148"/>
      <c r="X201" s="148"/>
      <c r="Y201" s="148"/>
      <c r="Z201" s="148"/>
      <c r="AA201" s="148"/>
      <c r="AB201" s="149"/>
      <c r="AC201" s="150"/>
      <c r="AD201" s="76"/>
      <c r="AE201" s="76"/>
      <c r="AF201" s="128"/>
    </row>
    <row r="202" spans="1:32" outlineLevel="1" x14ac:dyDescent="0.25">
      <c r="A202" s="4" t="s">
        <v>200</v>
      </c>
      <c r="B202" s="179" t="s">
        <v>1017</v>
      </c>
      <c r="C202" s="25"/>
      <c r="D202" s="92">
        <v>1</v>
      </c>
      <c r="E202" s="110">
        <v>0</v>
      </c>
      <c r="F202" s="93">
        <f>D202*E202</f>
        <v>0</v>
      </c>
      <c r="G202" s="74">
        <f t="shared" si="82"/>
        <v>0</v>
      </c>
      <c r="H202" s="95">
        <f t="shared" si="107"/>
        <v>0</v>
      </c>
      <c r="I202" s="112"/>
      <c r="J202" s="57"/>
      <c r="K202" s="57"/>
      <c r="L202" s="57"/>
      <c r="M202" s="57"/>
      <c r="N202" s="57"/>
      <c r="O202" s="57"/>
      <c r="P202" s="68"/>
      <c r="Q202" s="58"/>
      <c r="R202" s="170">
        <f>P202*Q202</f>
        <v>0</v>
      </c>
      <c r="S202" s="89">
        <f t="shared" si="111"/>
        <v>0</v>
      </c>
      <c r="T202" s="216">
        <f t="shared" si="112"/>
        <v>0</v>
      </c>
      <c r="U202" s="147"/>
      <c r="V202" s="148"/>
      <c r="W202" s="148"/>
      <c r="X202" s="148"/>
      <c r="Y202" s="148"/>
      <c r="Z202" s="148"/>
      <c r="AA202" s="148"/>
      <c r="AB202" s="149"/>
      <c r="AC202" s="150"/>
      <c r="AD202" s="76"/>
      <c r="AE202" s="76"/>
      <c r="AF202" s="128"/>
    </row>
    <row r="203" spans="1:32" outlineLevel="1" x14ac:dyDescent="0.25">
      <c r="A203" s="4" t="s">
        <v>1007</v>
      </c>
      <c r="B203" s="75" t="s">
        <v>1016</v>
      </c>
      <c r="C203" s="25"/>
      <c r="D203" s="92"/>
      <c r="E203" s="110"/>
      <c r="F203" s="93"/>
      <c r="G203" s="74"/>
      <c r="H203" s="95"/>
      <c r="I203" s="112"/>
      <c r="J203" s="57"/>
      <c r="K203" s="57"/>
      <c r="L203" s="57"/>
      <c r="M203" s="57"/>
      <c r="N203" s="57"/>
      <c r="O203" s="57"/>
      <c r="P203" s="68"/>
      <c r="Q203" s="58"/>
      <c r="R203" s="170">
        <v>2638.28</v>
      </c>
      <c r="S203" s="89">
        <f t="shared" si="111"/>
        <v>-2638.28</v>
      </c>
      <c r="T203" s="216">
        <f t="shared" si="112"/>
        <v>0</v>
      </c>
      <c r="U203" s="147"/>
      <c r="V203" s="148"/>
      <c r="W203" s="148"/>
      <c r="X203" s="148"/>
      <c r="Y203" s="148"/>
      <c r="Z203" s="148"/>
      <c r="AA203" s="148"/>
      <c r="AB203" s="149"/>
      <c r="AC203" s="150"/>
      <c r="AD203" s="176"/>
      <c r="AE203" s="176"/>
      <c r="AF203" s="177"/>
    </row>
    <row r="204" spans="1:32" s="3" customFormat="1" ht="15.75" x14ac:dyDescent="0.25">
      <c r="A204" s="7" t="s">
        <v>201</v>
      </c>
      <c r="B204" s="13" t="s">
        <v>322</v>
      </c>
      <c r="C204" s="23"/>
      <c r="D204" s="24"/>
      <c r="E204" s="17"/>
      <c r="F204" s="82">
        <f>SUM(F205:F207)</f>
        <v>0</v>
      </c>
      <c r="G204" s="89">
        <f t="shared" si="82"/>
        <v>0</v>
      </c>
      <c r="H204" s="18">
        <f t="shared" si="107"/>
        <v>0</v>
      </c>
      <c r="I204" s="54">
        <f t="shared" ref="I204:Q204" si="114">SUM(I205:I207)</f>
        <v>0</v>
      </c>
      <c r="J204" s="55">
        <f t="shared" si="114"/>
        <v>0</v>
      </c>
      <c r="K204" s="55">
        <f t="shared" si="114"/>
        <v>0</v>
      </c>
      <c r="L204" s="55">
        <f t="shared" si="114"/>
        <v>0</v>
      </c>
      <c r="M204" s="55">
        <f t="shared" si="114"/>
        <v>0</v>
      </c>
      <c r="N204" s="55">
        <f t="shared" si="114"/>
        <v>0</v>
      </c>
      <c r="O204" s="55">
        <f t="shared" si="114"/>
        <v>0</v>
      </c>
      <c r="P204" s="55">
        <f t="shared" si="114"/>
        <v>0</v>
      </c>
      <c r="Q204" s="56">
        <f t="shared" si="114"/>
        <v>0</v>
      </c>
      <c r="R204" s="169">
        <f>SUM(R205:R207)</f>
        <v>20486.170000000002</v>
      </c>
      <c r="S204" s="89">
        <f t="shared" si="111"/>
        <v>-20486.170000000002</v>
      </c>
      <c r="T204" s="216">
        <f t="shared" si="112"/>
        <v>0</v>
      </c>
      <c r="U204" s="144">
        <f>SUM(U205:U207)</f>
        <v>0</v>
      </c>
      <c r="V204" s="145">
        <f t="shared" ref="V204:AC204" si="115">SUM(V205:V207)</f>
        <v>0</v>
      </c>
      <c r="W204" s="145">
        <f t="shared" si="115"/>
        <v>0</v>
      </c>
      <c r="X204" s="145">
        <f t="shared" si="115"/>
        <v>0</v>
      </c>
      <c r="Y204" s="145">
        <f t="shared" si="115"/>
        <v>0</v>
      </c>
      <c r="Z204" s="145">
        <f t="shared" si="115"/>
        <v>0</v>
      </c>
      <c r="AA204" s="145">
        <f t="shared" si="115"/>
        <v>0</v>
      </c>
      <c r="AB204" s="145">
        <f t="shared" si="115"/>
        <v>0</v>
      </c>
      <c r="AC204" s="146">
        <f t="shared" si="115"/>
        <v>0</v>
      </c>
      <c r="AD204" s="33"/>
      <c r="AE204" s="33">
        <f>SUM(AE205:AE207)</f>
        <v>0</v>
      </c>
      <c r="AF204" s="127"/>
    </row>
    <row r="205" spans="1:32" outlineLevel="1" x14ac:dyDescent="0.25">
      <c r="A205" s="178" t="s">
        <v>184</v>
      </c>
      <c r="B205" s="75" t="s">
        <v>323</v>
      </c>
      <c r="C205" s="25"/>
      <c r="D205" s="92"/>
      <c r="E205" s="110"/>
      <c r="F205" s="93">
        <f>D205*E205</f>
        <v>0</v>
      </c>
      <c r="G205" s="74">
        <f t="shared" si="82"/>
        <v>0</v>
      </c>
      <c r="H205" s="95">
        <f t="shared" si="107"/>
        <v>0</v>
      </c>
      <c r="I205" s="112"/>
      <c r="J205" s="57"/>
      <c r="K205" s="57"/>
      <c r="L205" s="57"/>
      <c r="M205" s="57"/>
      <c r="N205" s="57"/>
      <c r="O205" s="57"/>
      <c r="P205" s="68"/>
      <c r="Q205" s="58"/>
      <c r="R205" s="170">
        <v>4.33</v>
      </c>
      <c r="S205" s="89">
        <f t="shared" si="111"/>
        <v>-4.33</v>
      </c>
      <c r="T205" s="216">
        <f t="shared" si="112"/>
        <v>0</v>
      </c>
      <c r="U205" s="147"/>
      <c r="V205" s="148"/>
      <c r="W205" s="148"/>
      <c r="X205" s="148"/>
      <c r="Y205" s="148"/>
      <c r="Z205" s="148"/>
      <c r="AA205" s="148"/>
      <c r="AB205" s="149"/>
      <c r="AC205" s="150"/>
      <c r="AD205" s="76"/>
      <c r="AE205" s="76"/>
      <c r="AF205" s="128"/>
    </row>
    <row r="206" spans="1:32" outlineLevel="1" x14ac:dyDescent="0.25">
      <c r="A206" s="178" t="s">
        <v>185</v>
      </c>
      <c r="B206" s="75" t="s">
        <v>324</v>
      </c>
      <c r="C206" s="25"/>
      <c r="D206" s="92"/>
      <c r="E206" s="110"/>
      <c r="F206" s="93">
        <f>D206*E206</f>
        <v>0</v>
      </c>
      <c r="G206" s="74">
        <f t="shared" si="82"/>
        <v>0</v>
      </c>
      <c r="H206" s="95">
        <f t="shared" si="107"/>
        <v>0</v>
      </c>
      <c r="I206" s="112"/>
      <c r="J206" s="57"/>
      <c r="K206" s="57"/>
      <c r="L206" s="57"/>
      <c r="M206" s="57"/>
      <c r="N206" s="57"/>
      <c r="O206" s="57"/>
      <c r="P206" s="68"/>
      <c r="Q206" s="58"/>
      <c r="R206" s="170">
        <f>P206*Q206</f>
        <v>0</v>
      </c>
      <c r="S206" s="89">
        <f t="shared" si="111"/>
        <v>0</v>
      </c>
      <c r="T206" s="216">
        <f t="shared" si="112"/>
        <v>0</v>
      </c>
      <c r="U206" s="147"/>
      <c r="V206" s="148"/>
      <c r="W206" s="148"/>
      <c r="X206" s="148"/>
      <c r="Y206" s="148"/>
      <c r="Z206" s="148"/>
      <c r="AA206" s="148"/>
      <c r="AB206" s="149"/>
      <c r="AC206" s="150"/>
      <c r="AD206" s="76"/>
      <c r="AE206" s="76"/>
      <c r="AF206" s="128"/>
    </row>
    <row r="207" spans="1:32" outlineLevel="1" x14ac:dyDescent="0.25">
      <c r="A207" s="178" t="s">
        <v>186</v>
      </c>
      <c r="B207" s="75" t="s">
        <v>47</v>
      </c>
      <c r="C207" s="25"/>
      <c r="D207" s="92"/>
      <c r="E207" s="110"/>
      <c r="F207" s="93">
        <f>D207*E207</f>
        <v>0</v>
      </c>
      <c r="G207" s="74">
        <f t="shared" si="82"/>
        <v>0</v>
      </c>
      <c r="H207" s="95">
        <f t="shared" si="107"/>
        <v>0</v>
      </c>
      <c r="I207" s="112"/>
      <c r="J207" s="57"/>
      <c r="K207" s="57"/>
      <c r="L207" s="57"/>
      <c r="M207" s="57"/>
      <c r="N207" s="57"/>
      <c r="O207" s="57"/>
      <c r="P207" s="68"/>
      <c r="Q207" s="58"/>
      <c r="R207" s="214">
        <f>1646.7+268.29+18566.85</f>
        <v>20481.84</v>
      </c>
      <c r="S207" s="89">
        <f t="shared" si="111"/>
        <v>-20481.84</v>
      </c>
      <c r="T207" s="216">
        <f t="shared" si="112"/>
        <v>0</v>
      </c>
      <c r="U207" s="147"/>
      <c r="V207" s="148"/>
      <c r="W207" s="148"/>
      <c r="X207" s="148"/>
      <c r="Y207" s="148"/>
      <c r="Z207" s="148"/>
      <c r="AA207" s="148"/>
      <c r="AB207" s="149"/>
      <c r="AC207" s="150"/>
      <c r="AD207" s="76"/>
      <c r="AE207" s="76"/>
      <c r="AF207" s="128"/>
    </row>
    <row r="208" spans="1:32" s="3" customFormat="1" ht="15.75" x14ac:dyDescent="0.25">
      <c r="A208" s="7" t="s">
        <v>203</v>
      </c>
      <c r="B208" s="13" t="s">
        <v>495</v>
      </c>
      <c r="C208" s="23"/>
      <c r="D208" s="24"/>
      <c r="E208" s="17"/>
      <c r="F208" s="82">
        <f>SUM(F209:F209)</f>
        <v>44200</v>
      </c>
      <c r="G208" s="89">
        <f t="shared" ref="G208:G272" si="116">H208-F208</f>
        <v>0</v>
      </c>
      <c r="H208" s="18">
        <f t="shared" si="107"/>
        <v>44200</v>
      </c>
      <c r="I208" s="54">
        <f t="shared" ref="I208:AC208" si="117">SUM(I209:I209)</f>
        <v>0</v>
      </c>
      <c r="J208" s="55">
        <f t="shared" si="117"/>
        <v>37700</v>
      </c>
      <c r="K208" s="55">
        <f t="shared" si="117"/>
        <v>0</v>
      </c>
      <c r="L208" s="55">
        <f t="shared" si="117"/>
        <v>0</v>
      </c>
      <c r="M208" s="55">
        <f t="shared" si="117"/>
        <v>0</v>
      </c>
      <c r="N208" s="55">
        <f t="shared" si="117"/>
        <v>0</v>
      </c>
      <c r="O208" s="55">
        <f t="shared" si="117"/>
        <v>0</v>
      </c>
      <c r="P208" s="55">
        <f t="shared" si="117"/>
        <v>6500</v>
      </c>
      <c r="Q208" s="56">
        <f t="shared" si="117"/>
        <v>0</v>
      </c>
      <c r="R208" s="169">
        <f>SUM(R209:R209)</f>
        <v>0</v>
      </c>
      <c r="S208" s="89">
        <f t="shared" si="111"/>
        <v>0</v>
      </c>
      <c r="T208" s="216">
        <f t="shared" si="112"/>
        <v>0</v>
      </c>
      <c r="U208" s="144">
        <f t="shared" si="117"/>
        <v>0</v>
      </c>
      <c r="V208" s="145">
        <f t="shared" si="117"/>
        <v>0</v>
      </c>
      <c r="W208" s="145">
        <f t="shared" si="117"/>
        <v>0</v>
      </c>
      <c r="X208" s="145">
        <f t="shared" si="117"/>
        <v>0</v>
      </c>
      <c r="Y208" s="145">
        <f t="shared" si="117"/>
        <v>0</v>
      </c>
      <c r="Z208" s="145">
        <f t="shared" si="117"/>
        <v>0</v>
      </c>
      <c r="AA208" s="145">
        <f t="shared" si="117"/>
        <v>0</v>
      </c>
      <c r="AB208" s="145">
        <f t="shared" si="117"/>
        <v>0</v>
      </c>
      <c r="AC208" s="146">
        <f t="shared" si="117"/>
        <v>0</v>
      </c>
      <c r="AD208" s="33">
        <v>44200</v>
      </c>
      <c r="AE208" s="33">
        <v>44200</v>
      </c>
      <c r="AF208" s="127">
        <f>AE208*100/AD208</f>
        <v>100</v>
      </c>
    </row>
    <row r="209" spans="1:32" outlineLevel="1" x14ac:dyDescent="0.25">
      <c r="A209" s="4" t="s">
        <v>205</v>
      </c>
      <c r="B209" s="75" t="s">
        <v>495</v>
      </c>
      <c r="C209" s="25" t="s">
        <v>933</v>
      </c>
      <c r="D209" s="92">
        <v>1</v>
      </c>
      <c r="E209" s="110">
        <f>34200+10000</f>
        <v>44200</v>
      </c>
      <c r="F209" s="93">
        <f>D209*E209</f>
        <v>44200</v>
      </c>
      <c r="G209" s="74">
        <f t="shared" si="116"/>
        <v>0</v>
      </c>
      <c r="H209" s="95">
        <f t="shared" si="107"/>
        <v>44200</v>
      </c>
      <c r="I209" s="112"/>
      <c r="J209" s="57">
        <f>44200-6500</f>
        <v>37700</v>
      </c>
      <c r="K209" s="57"/>
      <c r="L209" s="57"/>
      <c r="M209" s="57"/>
      <c r="N209" s="57"/>
      <c r="O209" s="57"/>
      <c r="P209" s="68">
        <v>6500</v>
      </c>
      <c r="Q209" s="58"/>
      <c r="R209" s="170">
        <f>P209*Q209</f>
        <v>0</v>
      </c>
      <c r="S209" s="89">
        <f t="shared" si="111"/>
        <v>0</v>
      </c>
      <c r="T209" s="216">
        <f t="shared" si="112"/>
        <v>0</v>
      </c>
      <c r="U209" s="147"/>
      <c r="V209" s="148"/>
      <c r="W209" s="148"/>
      <c r="X209" s="148"/>
      <c r="Y209" s="148"/>
      <c r="Z209" s="148"/>
      <c r="AA209" s="148"/>
      <c r="AB209" s="149"/>
      <c r="AC209" s="150"/>
      <c r="AD209" s="76"/>
      <c r="AE209" s="76"/>
      <c r="AF209" s="128"/>
    </row>
    <row r="210" spans="1:32" s="2" customFormat="1" ht="21" x14ac:dyDescent="0.35">
      <c r="A210" s="8" t="s">
        <v>209</v>
      </c>
      <c r="B210" s="12" t="s">
        <v>588</v>
      </c>
      <c r="C210" s="21"/>
      <c r="D210" s="22"/>
      <c r="E210" s="15"/>
      <c r="F210" s="84">
        <f>F211+F224+F229</f>
        <v>40290</v>
      </c>
      <c r="G210" s="89">
        <f t="shared" si="116"/>
        <v>0</v>
      </c>
      <c r="H210" s="16">
        <f t="shared" si="107"/>
        <v>40290</v>
      </c>
      <c r="I210" s="51">
        <f t="shared" ref="I210:AE210" si="118">I211+I224+I229</f>
        <v>0</v>
      </c>
      <c r="J210" s="51">
        <f t="shared" si="118"/>
        <v>16700</v>
      </c>
      <c r="K210" s="51">
        <f t="shared" si="118"/>
        <v>0</v>
      </c>
      <c r="L210" s="51">
        <f t="shared" si="118"/>
        <v>0</v>
      </c>
      <c r="M210" s="51">
        <f t="shared" si="118"/>
        <v>0</v>
      </c>
      <c r="N210" s="51">
        <f t="shared" si="118"/>
        <v>0</v>
      </c>
      <c r="O210" s="51">
        <f t="shared" si="118"/>
        <v>0</v>
      </c>
      <c r="P210" s="51">
        <f t="shared" si="118"/>
        <v>23590</v>
      </c>
      <c r="Q210" s="59">
        <f t="shared" si="118"/>
        <v>0</v>
      </c>
      <c r="R210" s="168">
        <f>R211+R224+R229</f>
        <v>8177.630000000001</v>
      </c>
      <c r="S210" s="89">
        <f t="shared" si="111"/>
        <v>-6965.630000000001</v>
      </c>
      <c r="T210" s="216">
        <f t="shared" si="112"/>
        <v>1212</v>
      </c>
      <c r="U210" s="144">
        <f>U211+U224+U229</f>
        <v>0</v>
      </c>
      <c r="V210" s="144">
        <v>1212</v>
      </c>
      <c r="W210" s="144">
        <f t="shared" ref="W210:AC210" si="119">W211+W224+W229</f>
        <v>0</v>
      </c>
      <c r="X210" s="144">
        <f t="shared" si="119"/>
        <v>0</v>
      </c>
      <c r="Y210" s="144">
        <f t="shared" si="119"/>
        <v>0</v>
      </c>
      <c r="Z210" s="144">
        <f t="shared" si="119"/>
        <v>0</v>
      </c>
      <c r="AA210" s="144">
        <f t="shared" si="119"/>
        <v>0</v>
      </c>
      <c r="AB210" s="144">
        <f t="shared" si="119"/>
        <v>0</v>
      </c>
      <c r="AC210" s="151">
        <f t="shared" si="119"/>
        <v>0</v>
      </c>
      <c r="AD210" s="32">
        <f t="shared" si="118"/>
        <v>53900</v>
      </c>
      <c r="AE210" s="32">
        <f t="shared" si="118"/>
        <v>36259.17</v>
      </c>
      <c r="AF210" s="126">
        <f>AE210*100/AD210</f>
        <v>67.271187384044524</v>
      </c>
    </row>
    <row r="211" spans="1:32" s="3" customFormat="1" ht="15.75" x14ac:dyDescent="0.25">
      <c r="A211" s="7" t="s">
        <v>213</v>
      </c>
      <c r="B211" s="13" t="s">
        <v>905</v>
      </c>
      <c r="C211" s="23"/>
      <c r="D211" s="24"/>
      <c r="E211" s="17"/>
      <c r="F211" s="82">
        <f>SUM(F212:F223)</f>
        <v>30800</v>
      </c>
      <c r="G211" s="89">
        <f t="shared" si="116"/>
        <v>0</v>
      </c>
      <c r="H211" s="18">
        <f t="shared" si="107"/>
        <v>30800</v>
      </c>
      <c r="I211" s="54">
        <f t="shared" ref="I211:Q211" si="120">SUM(I212:I223)</f>
        <v>0</v>
      </c>
      <c r="J211" s="55">
        <f t="shared" si="120"/>
        <v>15800</v>
      </c>
      <c r="K211" s="55">
        <f t="shared" si="120"/>
        <v>0</v>
      </c>
      <c r="L211" s="55">
        <f t="shared" si="120"/>
        <v>0</v>
      </c>
      <c r="M211" s="55">
        <f t="shared" si="120"/>
        <v>0</v>
      </c>
      <c r="N211" s="55">
        <f t="shared" si="120"/>
        <v>0</v>
      </c>
      <c r="O211" s="55">
        <f t="shared" si="120"/>
        <v>0</v>
      </c>
      <c r="P211" s="55">
        <f t="shared" si="120"/>
        <v>15000</v>
      </c>
      <c r="Q211" s="56">
        <f t="shared" si="120"/>
        <v>0</v>
      </c>
      <c r="R211" s="169">
        <f>SUM(R212:R223)</f>
        <v>6311.5700000000006</v>
      </c>
      <c r="S211" s="89">
        <f t="shared" si="111"/>
        <v>-6311.5700000000006</v>
      </c>
      <c r="T211" s="216">
        <f t="shared" si="112"/>
        <v>0</v>
      </c>
      <c r="U211" s="144">
        <f>SUM(U212:U223)</f>
        <v>0</v>
      </c>
      <c r="V211" s="145">
        <f t="shared" ref="V211:AC211" si="121">SUM(V212:V223)</f>
        <v>0</v>
      </c>
      <c r="W211" s="145">
        <f t="shared" si="121"/>
        <v>0</v>
      </c>
      <c r="X211" s="145">
        <f t="shared" si="121"/>
        <v>0</v>
      </c>
      <c r="Y211" s="145">
        <f t="shared" si="121"/>
        <v>0</v>
      </c>
      <c r="Z211" s="145">
        <f t="shared" si="121"/>
        <v>0</v>
      </c>
      <c r="AA211" s="145">
        <f t="shared" si="121"/>
        <v>0</v>
      </c>
      <c r="AB211" s="145">
        <f t="shared" si="121"/>
        <v>0</v>
      </c>
      <c r="AC211" s="146">
        <f t="shared" si="121"/>
        <v>0</v>
      </c>
      <c r="AD211" s="33">
        <v>40000</v>
      </c>
      <c r="AE211" s="33">
        <f>379.07+585.92+2810.54+450.61+47.6+128.76+697.4+10066.87+356.69+1004.91+3129.3+3306+1204.43+2139.51+397-170+5.4</f>
        <v>26540.010000000002</v>
      </c>
      <c r="AF211" s="127">
        <f>AE211*100/AD211</f>
        <v>66.350025000000002</v>
      </c>
    </row>
    <row r="212" spans="1:32" outlineLevel="1" x14ac:dyDescent="0.25">
      <c r="A212" s="5" t="s">
        <v>214</v>
      </c>
      <c r="B212" s="75" t="s">
        <v>904</v>
      </c>
      <c r="C212" s="25"/>
      <c r="D212" s="92">
        <v>1</v>
      </c>
      <c r="E212" s="110">
        <v>8125</v>
      </c>
      <c r="F212" s="93">
        <f t="shared" ref="F212:F223" si="122">D212*E212</f>
        <v>8125</v>
      </c>
      <c r="G212" s="74">
        <f t="shared" si="116"/>
        <v>0</v>
      </c>
      <c r="H212" s="95">
        <f t="shared" si="107"/>
        <v>8125</v>
      </c>
      <c r="I212" s="112"/>
      <c r="J212" s="57">
        <v>8125</v>
      </c>
      <c r="K212" s="57"/>
      <c r="L212" s="57"/>
      <c r="M212" s="57"/>
      <c r="N212" s="57"/>
      <c r="O212" s="57"/>
      <c r="P212" s="68"/>
      <c r="Q212" s="58"/>
      <c r="R212" s="170">
        <v>58.52</v>
      </c>
      <c r="S212" s="89">
        <f t="shared" si="111"/>
        <v>-58.52</v>
      </c>
      <c r="T212" s="216">
        <f t="shared" si="112"/>
        <v>0</v>
      </c>
      <c r="U212" s="147"/>
      <c r="V212" s="148"/>
      <c r="W212" s="148"/>
      <c r="X212" s="148"/>
      <c r="Y212" s="148"/>
      <c r="Z212" s="148"/>
      <c r="AA212" s="148"/>
      <c r="AB212" s="149"/>
      <c r="AC212" s="150"/>
      <c r="AD212" s="76"/>
      <c r="AE212" s="76"/>
      <c r="AF212" s="128"/>
    </row>
    <row r="213" spans="1:32" outlineLevel="1" x14ac:dyDescent="0.25">
      <c r="A213" s="4" t="s">
        <v>215</v>
      </c>
      <c r="B213" s="75" t="s">
        <v>909</v>
      </c>
      <c r="C213" s="25"/>
      <c r="D213" s="92">
        <v>1</v>
      </c>
      <c r="E213" s="110">
        <v>2800</v>
      </c>
      <c r="F213" s="93">
        <f t="shared" si="122"/>
        <v>2800</v>
      </c>
      <c r="G213" s="74">
        <f t="shared" si="116"/>
        <v>0</v>
      </c>
      <c r="H213" s="95">
        <f t="shared" si="107"/>
        <v>2800</v>
      </c>
      <c r="I213" s="112"/>
      <c r="J213" s="57">
        <v>2800</v>
      </c>
      <c r="K213" s="57"/>
      <c r="L213" s="57"/>
      <c r="M213" s="57"/>
      <c r="N213" s="57"/>
      <c r="O213" s="57"/>
      <c r="P213" s="68"/>
      <c r="Q213" s="58"/>
      <c r="R213" s="170">
        <v>2704.3</v>
      </c>
      <c r="S213" s="89">
        <f t="shared" si="111"/>
        <v>-2704.3</v>
      </c>
      <c r="T213" s="216">
        <f t="shared" si="112"/>
        <v>0</v>
      </c>
      <c r="U213" s="147"/>
      <c r="V213" s="148"/>
      <c r="W213" s="148"/>
      <c r="X213" s="148"/>
      <c r="Y213" s="148"/>
      <c r="Z213" s="148"/>
      <c r="AA213" s="148"/>
      <c r="AB213" s="149"/>
      <c r="AC213" s="150"/>
      <c r="AD213" s="76"/>
      <c r="AE213" s="76"/>
      <c r="AF213" s="128"/>
    </row>
    <row r="214" spans="1:32" outlineLevel="1" x14ac:dyDescent="0.25">
      <c r="A214" s="4" t="s">
        <v>216</v>
      </c>
      <c r="B214" s="75" t="s">
        <v>910</v>
      </c>
      <c r="C214" s="25"/>
      <c r="D214" s="92">
        <v>1</v>
      </c>
      <c r="E214" s="110">
        <v>1000</v>
      </c>
      <c r="F214" s="93">
        <f t="shared" si="122"/>
        <v>1000</v>
      </c>
      <c r="G214" s="74">
        <f t="shared" si="116"/>
        <v>0</v>
      </c>
      <c r="H214" s="95">
        <f t="shared" si="107"/>
        <v>1000</v>
      </c>
      <c r="I214" s="112"/>
      <c r="J214" s="57">
        <v>1000</v>
      </c>
      <c r="K214" s="57"/>
      <c r="L214" s="57"/>
      <c r="M214" s="57"/>
      <c r="N214" s="57"/>
      <c r="O214" s="57"/>
      <c r="P214" s="68"/>
      <c r="Q214" s="58"/>
      <c r="R214" s="170">
        <v>503.31</v>
      </c>
      <c r="S214" s="89">
        <f t="shared" si="111"/>
        <v>-503.31</v>
      </c>
      <c r="T214" s="216">
        <f t="shared" si="112"/>
        <v>0</v>
      </c>
      <c r="U214" s="147"/>
      <c r="V214" s="148"/>
      <c r="W214" s="148"/>
      <c r="X214" s="148"/>
      <c r="Y214" s="148"/>
      <c r="Z214" s="148"/>
      <c r="AA214" s="148"/>
      <c r="AB214" s="149"/>
      <c r="AC214" s="150"/>
      <c r="AD214" s="76"/>
      <c r="AE214" s="76"/>
      <c r="AF214" s="128"/>
    </row>
    <row r="215" spans="1:32" outlineLevel="1" x14ac:dyDescent="0.25">
      <c r="A215" s="4" t="s">
        <v>217</v>
      </c>
      <c r="B215" s="75" t="s">
        <v>911</v>
      </c>
      <c r="C215" s="25"/>
      <c r="D215" s="92">
        <v>1</v>
      </c>
      <c r="E215" s="110">
        <v>1000</v>
      </c>
      <c r="F215" s="93">
        <f t="shared" si="122"/>
        <v>1000</v>
      </c>
      <c r="G215" s="74">
        <f t="shared" si="116"/>
        <v>0</v>
      </c>
      <c r="H215" s="95">
        <f t="shared" si="107"/>
        <v>1000</v>
      </c>
      <c r="I215" s="112"/>
      <c r="J215" s="57">
        <v>1000</v>
      </c>
      <c r="K215" s="57"/>
      <c r="L215" s="57"/>
      <c r="M215" s="57"/>
      <c r="N215" s="57"/>
      <c r="O215" s="57"/>
      <c r="P215" s="68"/>
      <c r="Q215" s="58"/>
      <c r="R215" s="170">
        <v>52.31</v>
      </c>
      <c r="S215" s="89">
        <f t="shared" si="111"/>
        <v>-52.31</v>
      </c>
      <c r="T215" s="216">
        <f t="shared" si="112"/>
        <v>0</v>
      </c>
      <c r="U215" s="147"/>
      <c r="V215" s="148"/>
      <c r="W215" s="148"/>
      <c r="X215" s="148"/>
      <c r="Y215" s="148"/>
      <c r="Z215" s="148"/>
      <c r="AA215" s="148"/>
      <c r="AB215" s="149"/>
      <c r="AC215" s="150"/>
      <c r="AD215" s="76"/>
      <c r="AE215" s="76"/>
      <c r="AF215" s="128"/>
    </row>
    <row r="216" spans="1:32" outlineLevel="1" x14ac:dyDescent="0.25">
      <c r="A216" s="4" t="s">
        <v>218</v>
      </c>
      <c r="B216" s="75" t="s">
        <v>915</v>
      </c>
      <c r="C216" s="25"/>
      <c r="D216" s="92">
        <v>1</v>
      </c>
      <c r="E216" s="110">
        <v>100</v>
      </c>
      <c r="F216" s="93">
        <f t="shared" si="122"/>
        <v>100</v>
      </c>
      <c r="G216" s="74">
        <f t="shared" si="116"/>
        <v>0</v>
      </c>
      <c r="H216" s="95">
        <f t="shared" si="107"/>
        <v>100</v>
      </c>
      <c r="I216" s="112"/>
      <c r="J216" s="57">
        <v>100</v>
      </c>
      <c r="K216" s="57"/>
      <c r="L216" s="57"/>
      <c r="M216" s="57"/>
      <c r="N216" s="57"/>
      <c r="O216" s="57"/>
      <c r="P216" s="68"/>
      <c r="Q216" s="58"/>
      <c r="R216" s="170">
        <v>45.19</v>
      </c>
      <c r="S216" s="89">
        <f t="shared" si="111"/>
        <v>-45.19</v>
      </c>
      <c r="T216" s="216">
        <f t="shared" si="112"/>
        <v>0</v>
      </c>
      <c r="U216" s="147"/>
      <c r="V216" s="148"/>
      <c r="W216" s="148"/>
      <c r="X216" s="148"/>
      <c r="Y216" s="148"/>
      <c r="Z216" s="148"/>
      <c r="AA216" s="148"/>
      <c r="AB216" s="149"/>
      <c r="AC216" s="150"/>
      <c r="AD216" s="76"/>
      <c r="AE216" s="76"/>
      <c r="AF216" s="128"/>
    </row>
    <row r="217" spans="1:32" outlineLevel="1" x14ac:dyDescent="0.25">
      <c r="A217" s="4" t="s">
        <v>916</v>
      </c>
      <c r="B217" s="75" t="s">
        <v>954</v>
      </c>
      <c r="C217" s="25"/>
      <c r="D217" s="92">
        <v>1</v>
      </c>
      <c r="E217" s="110">
        <f>300+75+100</f>
        <v>475</v>
      </c>
      <c r="F217" s="93">
        <f t="shared" si="122"/>
        <v>475</v>
      </c>
      <c r="G217" s="74">
        <f t="shared" si="116"/>
        <v>0</v>
      </c>
      <c r="H217" s="95">
        <f t="shared" si="107"/>
        <v>475</v>
      </c>
      <c r="I217" s="112"/>
      <c r="J217" s="57">
        <v>475</v>
      </c>
      <c r="K217" s="57"/>
      <c r="L217" s="57"/>
      <c r="M217" s="57"/>
      <c r="N217" s="57"/>
      <c r="O217" s="57"/>
      <c r="P217" s="68"/>
      <c r="Q217" s="58"/>
      <c r="R217" s="170">
        <v>689.86</v>
      </c>
      <c r="S217" s="89">
        <f t="shared" si="111"/>
        <v>-689.86</v>
      </c>
      <c r="T217" s="216">
        <f t="shared" si="112"/>
        <v>0</v>
      </c>
      <c r="U217" s="147"/>
      <c r="V217" s="148"/>
      <c r="W217" s="148"/>
      <c r="X217" s="148"/>
      <c r="Y217" s="148"/>
      <c r="Z217" s="148"/>
      <c r="AA217" s="148"/>
      <c r="AB217" s="149"/>
      <c r="AC217" s="150"/>
      <c r="AD217" s="76"/>
      <c r="AE217" s="76"/>
      <c r="AF217" s="128"/>
    </row>
    <row r="218" spans="1:32" outlineLevel="1" x14ac:dyDescent="0.25">
      <c r="A218" s="4" t="s">
        <v>917</v>
      </c>
      <c r="B218" s="75" t="s">
        <v>914</v>
      </c>
      <c r="C218" s="25"/>
      <c r="D218" s="92">
        <v>1</v>
      </c>
      <c r="E218" s="110">
        <v>500</v>
      </c>
      <c r="F218" s="93">
        <f t="shared" si="122"/>
        <v>500</v>
      </c>
      <c r="G218" s="74">
        <f t="shared" si="116"/>
        <v>0</v>
      </c>
      <c r="H218" s="95">
        <f t="shared" si="107"/>
        <v>500</v>
      </c>
      <c r="I218" s="112"/>
      <c r="J218" s="57">
        <v>500</v>
      </c>
      <c r="K218" s="57"/>
      <c r="L218" s="57"/>
      <c r="M218" s="57"/>
      <c r="N218" s="57"/>
      <c r="O218" s="57"/>
      <c r="P218" s="68"/>
      <c r="Q218" s="58"/>
      <c r="R218" s="170">
        <v>95.04</v>
      </c>
      <c r="S218" s="89">
        <f t="shared" si="111"/>
        <v>-95.04</v>
      </c>
      <c r="T218" s="216">
        <f t="shared" si="112"/>
        <v>0</v>
      </c>
      <c r="U218" s="147"/>
      <c r="V218" s="148"/>
      <c r="W218" s="148"/>
      <c r="X218" s="148"/>
      <c r="Y218" s="148"/>
      <c r="Z218" s="148"/>
      <c r="AA218" s="148"/>
      <c r="AB218" s="149"/>
      <c r="AC218" s="150"/>
      <c r="AD218" s="76"/>
      <c r="AE218" s="76"/>
      <c r="AF218" s="128"/>
    </row>
    <row r="219" spans="1:32" outlineLevel="1" x14ac:dyDescent="0.25">
      <c r="A219" s="4" t="s">
        <v>918</v>
      </c>
      <c r="B219" s="75" t="s">
        <v>912</v>
      </c>
      <c r="C219" s="25"/>
      <c r="D219" s="92">
        <v>1</v>
      </c>
      <c r="E219" s="110">
        <v>800</v>
      </c>
      <c r="F219" s="93">
        <f t="shared" si="122"/>
        <v>800</v>
      </c>
      <c r="G219" s="74">
        <f t="shared" si="116"/>
        <v>0</v>
      </c>
      <c r="H219" s="95">
        <f t="shared" si="107"/>
        <v>800</v>
      </c>
      <c r="I219" s="112"/>
      <c r="J219" s="57">
        <v>800</v>
      </c>
      <c r="K219" s="57"/>
      <c r="L219" s="57"/>
      <c r="M219" s="57"/>
      <c r="N219" s="57"/>
      <c r="O219" s="57"/>
      <c r="P219" s="68"/>
      <c r="Q219" s="58"/>
      <c r="R219" s="170">
        <v>572.53</v>
      </c>
      <c r="S219" s="89">
        <f t="shared" si="111"/>
        <v>-572.53</v>
      </c>
      <c r="T219" s="216">
        <f t="shared" si="112"/>
        <v>0</v>
      </c>
      <c r="U219" s="147"/>
      <c r="V219" s="148"/>
      <c r="W219" s="148"/>
      <c r="X219" s="148"/>
      <c r="Y219" s="148"/>
      <c r="Z219" s="148"/>
      <c r="AA219" s="148"/>
      <c r="AB219" s="149"/>
      <c r="AC219" s="150"/>
      <c r="AD219" s="76"/>
      <c r="AE219" s="76"/>
      <c r="AF219" s="128"/>
    </row>
    <row r="220" spans="1:32" outlineLevel="1" x14ac:dyDescent="0.25">
      <c r="A220" s="4" t="s">
        <v>919</v>
      </c>
      <c r="B220" s="75" t="s">
        <v>906</v>
      </c>
      <c r="C220" s="25"/>
      <c r="D220" s="92">
        <v>1</v>
      </c>
      <c r="E220" s="110">
        <v>8000</v>
      </c>
      <c r="F220" s="93">
        <f t="shared" si="122"/>
        <v>8000</v>
      </c>
      <c r="G220" s="74">
        <f t="shared" si="116"/>
        <v>0</v>
      </c>
      <c r="H220" s="95">
        <f t="shared" si="107"/>
        <v>8000</v>
      </c>
      <c r="I220" s="112"/>
      <c r="J220" s="57"/>
      <c r="K220" s="57"/>
      <c r="L220" s="57"/>
      <c r="M220" s="57"/>
      <c r="N220" s="57"/>
      <c r="O220" s="57"/>
      <c r="P220" s="68">
        <v>8000</v>
      </c>
      <c r="Q220" s="58"/>
      <c r="R220" s="170">
        <f>P220*Q220</f>
        <v>0</v>
      </c>
      <c r="S220" s="89">
        <f t="shared" si="111"/>
        <v>0</v>
      </c>
      <c r="T220" s="216">
        <f t="shared" si="112"/>
        <v>0</v>
      </c>
      <c r="U220" s="147"/>
      <c r="V220" s="148"/>
      <c r="W220" s="148"/>
      <c r="X220" s="148"/>
      <c r="Y220" s="148"/>
      <c r="Z220" s="148"/>
      <c r="AA220" s="148"/>
      <c r="AB220" s="149"/>
      <c r="AC220" s="150"/>
      <c r="AD220" s="76"/>
      <c r="AE220" s="76"/>
      <c r="AF220" s="128"/>
    </row>
    <row r="221" spans="1:32" outlineLevel="1" x14ac:dyDescent="0.25">
      <c r="A221" s="4" t="s">
        <v>920</v>
      </c>
      <c r="B221" s="75" t="s">
        <v>907</v>
      </c>
      <c r="C221" s="25"/>
      <c r="D221" s="92">
        <v>1</v>
      </c>
      <c r="E221" s="110">
        <v>3500</v>
      </c>
      <c r="F221" s="93">
        <f t="shared" si="122"/>
        <v>3500</v>
      </c>
      <c r="G221" s="74">
        <f t="shared" si="116"/>
        <v>0</v>
      </c>
      <c r="H221" s="95">
        <f t="shared" si="107"/>
        <v>3500</v>
      </c>
      <c r="I221" s="112"/>
      <c r="J221" s="57"/>
      <c r="K221" s="57"/>
      <c r="L221" s="57"/>
      <c r="M221" s="57"/>
      <c r="N221" s="57"/>
      <c r="O221" s="57"/>
      <c r="P221" s="68">
        <v>3500</v>
      </c>
      <c r="Q221" s="58"/>
      <c r="R221" s="170">
        <f>P221*Q221</f>
        <v>0</v>
      </c>
      <c r="S221" s="89">
        <f t="shared" si="111"/>
        <v>0</v>
      </c>
      <c r="T221" s="216">
        <f t="shared" si="112"/>
        <v>0</v>
      </c>
      <c r="U221" s="147"/>
      <c r="V221" s="148"/>
      <c r="W221" s="148"/>
      <c r="X221" s="148"/>
      <c r="Y221" s="148"/>
      <c r="Z221" s="148"/>
      <c r="AA221" s="148"/>
      <c r="AB221" s="149"/>
      <c r="AC221" s="150"/>
      <c r="AD221" s="76"/>
      <c r="AE221" s="76"/>
      <c r="AF221" s="128"/>
    </row>
    <row r="222" spans="1:32" outlineLevel="1" x14ac:dyDescent="0.25">
      <c r="A222" s="4" t="s">
        <v>921</v>
      </c>
      <c r="B222" s="75" t="s">
        <v>908</v>
      </c>
      <c r="C222" s="25"/>
      <c r="D222" s="92">
        <v>1</v>
      </c>
      <c r="E222" s="110">
        <v>3500</v>
      </c>
      <c r="F222" s="93">
        <f t="shared" si="122"/>
        <v>3500</v>
      </c>
      <c r="G222" s="74">
        <f t="shared" si="116"/>
        <v>0</v>
      </c>
      <c r="H222" s="95">
        <f t="shared" si="107"/>
        <v>3500</v>
      </c>
      <c r="I222" s="112"/>
      <c r="J222" s="57"/>
      <c r="K222" s="57"/>
      <c r="L222" s="57"/>
      <c r="M222" s="57"/>
      <c r="N222" s="57"/>
      <c r="O222" s="57"/>
      <c r="P222" s="68">
        <v>3500</v>
      </c>
      <c r="Q222" s="58"/>
      <c r="R222" s="170">
        <v>1402</v>
      </c>
      <c r="S222" s="89">
        <f t="shared" si="111"/>
        <v>-1402</v>
      </c>
      <c r="T222" s="216">
        <f t="shared" si="112"/>
        <v>0</v>
      </c>
      <c r="U222" s="147"/>
      <c r="V222" s="148"/>
      <c r="W222" s="148"/>
      <c r="X222" s="148"/>
      <c r="Y222" s="148"/>
      <c r="Z222" s="148"/>
      <c r="AA222" s="148"/>
      <c r="AB222" s="149"/>
      <c r="AC222" s="150"/>
      <c r="AD222" s="76"/>
      <c r="AE222" s="76"/>
      <c r="AF222" s="128"/>
    </row>
    <row r="223" spans="1:32" outlineLevel="1" x14ac:dyDescent="0.25">
      <c r="A223" s="4" t="s">
        <v>922</v>
      </c>
      <c r="B223" s="75" t="s">
        <v>47</v>
      </c>
      <c r="C223" s="25"/>
      <c r="D223" s="92">
        <v>1</v>
      </c>
      <c r="E223" s="110">
        <v>1000</v>
      </c>
      <c r="F223" s="93">
        <f t="shared" si="122"/>
        <v>1000</v>
      </c>
      <c r="G223" s="74">
        <f t="shared" si="116"/>
        <v>0</v>
      </c>
      <c r="H223" s="95">
        <f t="shared" si="107"/>
        <v>1000</v>
      </c>
      <c r="I223" s="112"/>
      <c r="J223" s="57">
        <v>1000</v>
      </c>
      <c r="K223" s="57"/>
      <c r="L223" s="57"/>
      <c r="M223" s="57"/>
      <c r="N223" s="57"/>
      <c r="O223" s="57"/>
      <c r="P223" s="68"/>
      <c r="Q223" s="58"/>
      <c r="R223" s="170">
        <v>188.51</v>
      </c>
      <c r="S223" s="89">
        <f t="shared" si="111"/>
        <v>-188.51</v>
      </c>
      <c r="T223" s="216">
        <f t="shared" si="112"/>
        <v>0</v>
      </c>
      <c r="U223" s="147"/>
      <c r="V223" s="148"/>
      <c r="W223" s="148"/>
      <c r="X223" s="148"/>
      <c r="Y223" s="148"/>
      <c r="Z223" s="148"/>
      <c r="AA223" s="148"/>
      <c r="AB223" s="149"/>
      <c r="AC223" s="150"/>
      <c r="AD223" s="76"/>
      <c r="AE223" s="76"/>
      <c r="AF223" s="128"/>
    </row>
    <row r="224" spans="1:32" s="3" customFormat="1" ht="15.75" x14ac:dyDescent="0.25">
      <c r="A224" s="7" t="s">
        <v>219</v>
      </c>
      <c r="B224" s="13" t="s">
        <v>695</v>
      </c>
      <c r="C224" s="23"/>
      <c r="D224" s="24"/>
      <c r="E224" s="17"/>
      <c r="F224" s="82">
        <f>SUM(F225:F228)</f>
        <v>5590</v>
      </c>
      <c r="G224" s="89">
        <f t="shared" si="116"/>
        <v>0</v>
      </c>
      <c r="H224" s="18">
        <f t="shared" si="107"/>
        <v>5590</v>
      </c>
      <c r="I224" s="54">
        <f t="shared" ref="I224:Q224" si="123">SUM(I225:I228)</f>
        <v>0</v>
      </c>
      <c r="J224" s="55">
        <f t="shared" si="123"/>
        <v>900</v>
      </c>
      <c r="K224" s="55">
        <f t="shared" si="123"/>
        <v>0</v>
      </c>
      <c r="L224" s="55">
        <f t="shared" si="123"/>
        <v>0</v>
      </c>
      <c r="M224" s="55">
        <f t="shared" si="123"/>
        <v>0</v>
      </c>
      <c r="N224" s="55">
        <f t="shared" si="123"/>
        <v>0</v>
      </c>
      <c r="O224" s="55">
        <f t="shared" si="123"/>
        <v>0</v>
      </c>
      <c r="P224" s="55">
        <f t="shared" si="123"/>
        <v>4690</v>
      </c>
      <c r="Q224" s="56">
        <f t="shared" si="123"/>
        <v>0</v>
      </c>
      <c r="R224" s="169">
        <f>SUM(R225:R228)</f>
        <v>1866.0600000000002</v>
      </c>
      <c r="S224" s="89">
        <f t="shared" si="111"/>
        <v>-1866.0600000000002</v>
      </c>
      <c r="T224" s="216">
        <f t="shared" si="112"/>
        <v>0</v>
      </c>
      <c r="U224" s="144">
        <f>SUM(U225:U228)</f>
        <v>0</v>
      </c>
      <c r="V224" s="145">
        <f t="shared" ref="V224:AC224" si="124">SUM(V225:V228)</f>
        <v>0</v>
      </c>
      <c r="W224" s="145">
        <f t="shared" si="124"/>
        <v>0</v>
      </c>
      <c r="X224" s="145">
        <f t="shared" si="124"/>
        <v>0</v>
      </c>
      <c r="Y224" s="145">
        <f t="shared" si="124"/>
        <v>0</v>
      </c>
      <c r="Z224" s="145">
        <f t="shared" si="124"/>
        <v>0</v>
      </c>
      <c r="AA224" s="145">
        <f t="shared" si="124"/>
        <v>0</v>
      </c>
      <c r="AB224" s="145">
        <f t="shared" si="124"/>
        <v>0</v>
      </c>
      <c r="AC224" s="146">
        <f t="shared" si="124"/>
        <v>0</v>
      </c>
      <c r="AD224" s="33">
        <v>10000</v>
      </c>
      <c r="AE224" s="33">
        <f>3332.23+32+252.53+504.02+1025.03+35.02+1004.91+133.42-500</f>
        <v>5819.1600000000008</v>
      </c>
      <c r="AF224" s="127">
        <f>AE224*100/AD224</f>
        <v>58.191600000000008</v>
      </c>
    </row>
    <row r="225" spans="1:32" outlineLevel="1" x14ac:dyDescent="0.25">
      <c r="A225" s="4" t="s">
        <v>220</v>
      </c>
      <c r="B225" s="75" t="s">
        <v>965</v>
      </c>
      <c r="C225" s="25"/>
      <c r="D225" s="92">
        <v>1</v>
      </c>
      <c r="E225" s="110">
        <v>700</v>
      </c>
      <c r="F225" s="93">
        <f>D225*E225</f>
        <v>700</v>
      </c>
      <c r="G225" s="74">
        <f t="shared" si="116"/>
        <v>0</v>
      </c>
      <c r="H225" s="95">
        <f t="shared" si="107"/>
        <v>700</v>
      </c>
      <c r="I225" s="112"/>
      <c r="J225" s="57">
        <v>700</v>
      </c>
      <c r="K225" s="57"/>
      <c r="L225" s="57"/>
      <c r="M225" s="57"/>
      <c r="N225" s="57"/>
      <c r="O225" s="57"/>
      <c r="P225" s="68"/>
      <c r="Q225" s="58"/>
      <c r="R225" s="170">
        <f>P225*Q225</f>
        <v>0</v>
      </c>
      <c r="S225" s="89">
        <f t="shared" si="111"/>
        <v>0</v>
      </c>
      <c r="T225" s="216">
        <f t="shared" si="112"/>
        <v>0</v>
      </c>
      <c r="U225" s="147"/>
      <c r="V225" s="148"/>
      <c r="W225" s="148"/>
      <c r="X225" s="148"/>
      <c r="Y225" s="148"/>
      <c r="Z225" s="148"/>
      <c r="AA225" s="148"/>
      <c r="AB225" s="149"/>
      <c r="AC225" s="150"/>
      <c r="AD225" s="76"/>
      <c r="AE225" s="76"/>
      <c r="AF225" s="128"/>
    </row>
    <row r="226" spans="1:32" outlineLevel="1" x14ac:dyDescent="0.25">
      <c r="A226" s="4" t="s">
        <v>221</v>
      </c>
      <c r="B226" s="75" t="s">
        <v>913</v>
      </c>
      <c r="C226" s="25"/>
      <c r="D226" s="92">
        <v>1</v>
      </c>
      <c r="E226" s="110">
        <v>600</v>
      </c>
      <c r="F226" s="93">
        <f>D226*E226</f>
        <v>600</v>
      </c>
      <c r="G226" s="74">
        <f t="shared" si="116"/>
        <v>0</v>
      </c>
      <c r="H226" s="95">
        <f t="shared" si="107"/>
        <v>600</v>
      </c>
      <c r="I226" s="112"/>
      <c r="J226" s="57">
        <v>200</v>
      </c>
      <c r="K226" s="57"/>
      <c r="L226" s="57"/>
      <c r="M226" s="57"/>
      <c r="N226" s="57"/>
      <c r="O226" s="57"/>
      <c r="P226" s="68">
        <v>400</v>
      </c>
      <c r="Q226" s="58"/>
      <c r="R226" s="170">
        <f>P226*Q226</f>
        <v>0</v>
      </c>
      <c r="S226" s="89">
        <f t="shared" si="111"/>
        <v>0</v>
      </c>
      <c r="T226" s="216">
        <f t="shared" si="112"/>
        <v>0</v>
      </c>
      <c r="U226" s="147"/>
      <c r="V226" s="148"/>
      <c r="W226" s="148"/>
      <c r="X226" s="148"/>
      <c r="Y226" s="148"/>
      <c r="Z226" s="148"/>
      <c r="AA226" s="148"/>
      <c r="AB226" s="149"/>
      <c r="AC226" s="150"/>
      <c r="AD226" s="76"/>
      <c r="AE226" s="76"/>
      <c r="AF226" s="128"/>
    </row>
    <row r="227" spans="1:32" outlineLevel="1" x14ac:dyDescent="0.25">
      <c r="A227" s="4" t="s">
        <v>977</v>
      </c>
      <c r="B227" s="75" t="s">
        <v>951</v>
      </c>
      <c r="C227" s="25"/>
      <c r="D227" s="92">
        <v>1</v>
      </c>
      <c r="E227" s="110">
        <v>3590</v>
      </c>
      <c r="F227" s="93">
        <f>D227*E227</f>
        <v>3590</v>
      </c>
      <c r="G227" s="74">
        <f t="shared" si="116"/>
        <v>0</v>
      </c>
      <c r="H227" s="95">
        <f t="shared" si="107"/>
        <v>3590</v>
      </c>
      <c r="I227" s="112"/>
      <c r="J227" s="57"/>
      <c r="K227" s="57"/>
      <c r="L227" s="57"/>
      <c r="M227" s="57"/>
      <c r="N227" s="57"/>
      <c r="O227" s="57"/>
      <c r="P227" s="68">
        <v>3590</v>
      </c>
      <c r="Q227" s="58"/>
      <c r="R227" s="215">
        <v>1678.14</v>
      </c>
      <c r="S227" s="89">
        <f t="shared" si="111"/>
        <v>-1678.14</v>
      </c>
      <c r="T227" s="216">
        <f t="shared" si="112"/>
        <v>0</v>
      </c>
      <c r="U227" s="147"/>
      <c r="V227" s="148"/>
      <c r="W227" s="148"/>
      <c r="X227" s="148"/>
      <c r="Y227" s="148"/>
      <c r="Z227" s="148"/>
      <c r="AA227" s="148"/>
      <c r="AB227" s="149"/>
      <c r="AC227" s="150"/>
      <c r="AD227" s="76"/>
      <c r="AE227" s="76"/>
      <c r="AF227" s="128"/>
    </row>
    <row r="228" spans="1:32" outlineLevel="1" x14ac:dyDescent="0.25">
      <c r="A228" s="4" t="s">
        <v>222</v>
      </c>
      <c r="B228" s="75" t="s">
        <v>47</v>
      </c>
      <c r="C228" s="25"/>
      <c r="D228" s="92">
        <v>1</v>
      </c>
      <c r="E228" s="110">
        <v>700</v>
      </c>
      <c r="F228" s="93">
        <f>D228*E228</f>
        <v>700</v>
      </c>
      <c r="G228" s="74">
        <f t="shared" si="116"/>
        <v>0</v>
      </c>
      <c r="H228" s="95">
        <f t="shared" si="107"/>
        <v>700</v>
      </c>
      <c r="I228" s="112"/>
      <c r="J228" s="57"/>
      <c r="K228" s="57"/>
      <c r="L228" s="57"/>
      <c r="M228" s="57"/>
      <c r="N228" s="57"/>
      <c r="O228" s="57"/>
      <c r="P228" s="68">
        <v>700</v>
      </c>
      <c r="Q228" s="58"/>
      <c r="R228" s="170">
        <v>187.92</v>
      </c>
      <c r="S228" s="89">
        <f t="shared" si="111"/>
        <v>-187.92</v>
      </c>
      <c r="T228" s="216">
        <f t="shared" si="112"/>
        <v>0</v>
      </c>
      <c r="U228" s="147"/>
      <c r="V228" s="148"/>
      <c r="W228" s="148"/>
      <c r="X228" s="148"/>
      <c r="Y228" s="148"/>
      <c r="Z228" s="148"/>
      <c r="AA228" s="148"/>
      <c r="AB228" s="149"/>
      <c r="AC228" s="150"/>
      <c r="AD228" s="76"/>
      <c r="AE228" s="76"/>
      <c r="AF228" s="128"/>
    </row>
    <row r="229" spans="1:32" s="3" customFormat="1" ht="15.75" x14ac:dyDescent="0.25">
      <c r="A229" s="7" t="s">
        <v>223</v>
      </c>
      <c r="B229" s="13" t="s">
        <v>495</v>
      </c>
      <c r="C229" s="23"/>
      <c r="D229" s="24"/>
      <c r="E229" s="17"/>
      <c r="F229" s="82">
        <f>SUM(F230:F230)</f>
        <v>3900</v>
      </c>
      <c r="G229" s="89">
        <f t="shared" si="116"/>
        <v>0</v>
      </c>
      <c r="H229" s="18">
        <f t="shared" si="107"/>
        <v>3900</v>
      </c>
      <c r="I229" s="54">
        <f t="shared" ref="I229:AC229" si="125">SUM(I230:I230)</f>
        <v>0</v>
      </c>
      <c r="J229" s="55">
        <f t="shared" si="125"/>
        <v>0</v>
      </c>
      <c r="K229" s="55">
        <f t="shared" si="125"/>
        <v>0</v>
      </c>
      <c r="L229" s="55">
        <f t="shared" si="125"/>
        <v>0</v>
      </c>
      <c r="M229" s="55">
        <f t="shared" si="125"/>
        <v>0</v>
      </c>
      <c r="N229" s="55">
        <f t="shared" si="125"/>
        <v>0</v>
      </c>
      <c r="O229" s="55">
        <f t="shared" si="125"/>
        <v>0</v>
      </c>
      <c r="P229" s="55">
        <f t="shared" si="125"/>
        <v>3900</v>
      </c>
      <c r="Q229" s="56">
        <f t="shared" si="125"/>
        <v>0</v>
      </c>
      <c r="R229" s="169">
        <f>SUM(R230:R230)</f>
        <v>0</v>
      </c>
      <c r="S229" s="89">
        <f t="shared" si="111"/>
        <v>0</v>
      </c>
      <c r="T229" s="216">
        <f t="shared" si="112"/>
        <v>0</v>
      </c>
      <c r="U229" s="144">
        <f t="shared" si="125"/>
        <v>0</v>
      </c>
      <c r="V229" s="145">
        <f t="shared" si="125"/>
        <v>0</v>
      </c>
      <c r="W229" s="145">
        <f t="shared" si="125"/>
        <v>0</v>
      </c>
      <c r="X229" s="145">
        <f t="shared" si="125"/>
        <v>0</v>
      </c>
      <c r="Y229" s="145">
        <f t="shared" si="125"/>
        <v>0</v>
      </c>
      <c r="Z229" s="145">
        <f t="shared" si="125"/>
        <v>0</v>
      </c>
      <c r="AA229" s="145">
        <f t="shared" si="125"/>
        <v>0</v>
      </c>
      <c r="AB229" s="145">
        <f t="shared" si="125"/>
        <v>0</v>
      </c>
      <c r="AC229" s="146">
        <f t="shared" si="125"/>
        <v>0</v>
      </c>
      <c r="AD229" s="33">
        <v>3900</v>
      </c>
      <c r="AE229" s="33">
        <v>3900</v>
      </c>
      <c r="AF229" s="127">
        <f>AE229*100/AD229</f>
        <v>100</v>
      </c>
    </row>
    <row r="230" spans="1:32" outlineLevel="1" x14ac:dyDescent="0.25">
      <c r="A230" s="4" t="s">
        <v>224</v>
      </c>
      <c r="B230" s="75" t="s">
        <v>495</v>
      </c>
      <c r="C230" s="25"/>
      <c r="D230" s="92">
        <v>1</v>
      </c>
      <c r="E230" s="110">
        <v>3900</v>
      </c>
      <c r="F230" s="93">
        <f>D230*E230</f>
        <v>3900</v>
      </c>
      <c r="G230" s="74">
        <f t="shared" si="116"/>
        <v>0</v>
      </c>
      <c r="H230" s="95">
        <f t="shared" si="107"/>
        <v>3900</v>
      </c>
      <c r="I230" s="112"/>
      <c r="J230" s="57"/>
      <c r="K230" s="57"/>
      <c r="L230" s="57"/>
      <c r="M230" s="57"/>
      <c r="N230" s="57"/>
      <c r="O230" s="57"/>
      <c r="P230" s="68">
        <v>3900</v>
      </c>
      <c r="Q230" s="58"/>
      <c r="R230" s="170">
        <f>P230*Q230</f>
        <v>0</v>
      </c>
      <c r="S230" s="89">
        <f t="shared" si="111"/>
        <v>0</v>
      </c>
      <c r="T230" s="216">
        <f t="shared" si="112"/>
        <v>0</v>
      </c>
      <c r="U230" s="147"/>
      <c r="V230" s="148"/>
      <c r="W230" s="148"/>
      <c r="X230" s="148"/>
      <c r="Y230" s="148"/>
      <c r="Z230" s="148"/>
      <c r="AA230" s="148"/>
      <c r="AB230" s="149"/>
      <c r="AC230" s="150"/>
      <c r="AD230" s="76"/>
      <c r="AE230" s="76"/>
      <c r="AF230" s="128"/>
    </row>
    <row r="231" spans="1:32" s="2" customFormat="1" ht="21" x14ac:dyDescent="0.35">
      <c r="A231" s="8" t="s">
        <v>226</v>
      </c>
      <c r="B231" s="12" t="s">
        <v>589</v>
      </c>
      <c r="C231" s="21"/>
      <c r="D231" s="22"/>
      <c r="E231" s="15"/>
      <c r="F231" s="84">
        <f>F232+F238+F252</f>
        <v>116300</v>
      </c>
      <c r="G231" s="89">
        <f t="shared" si="116"/>
        <v>-3500.4255192500132</v>
      </c>
      <c r="H231" s="16">
        <f t="shared" si="107"/>
        <v>112799.57448074999</v>
      </c>
      <c r="I231" s="51">
        <f t="shared" ref="I231:AE231" si="126">I232+I238+I249+I252</f>
        <v>24654</v>
      </c>
      <c r="J231" s="51">
        <f t="shared" si="126"/>
        <v>0</v>
      </c>
      <c r="K231" s="51">
        <f t="shared" si="126"/>
        <v>0</v>
      </c>
      <c r="L231" s="51">
        <f t="shared" si="126"/>
        <v>18657</v>
      </c>
      <c r="M231" s="51">
        <f t="shared" si="126"/>
        <v>0</v>
      </c>
      <c r="N231" s="51">
        <f t="shared" si="126"/>
        <v>0</v>
      </c>
      <c r="O231" s="51">
        <f t="shared" si="126"/>
        <v>0</v>
      </c>
      <c r="P231" s="51">
        <f t="shared" si="126"/>
        <v>48988.574480749994</v>
      </c>
      <c r="Q231" s="51">
        <f t="shared" si="126"/>
        <v>20500</v>
      </c>
      <c r="R231" s="168">
        <f>R232+R238+R252</f>
        <v>49547.270000000004</v>
      </c>
      <c r="S231" s="89">
        <f t="shared" si="111"/>
        <v>-49318.270000000004</v>
      </c>
      <c r="T231" s="216">
        <f t="shared" si="112"/>
        <v>229</v>
      </c>
      <c r="U231" s="144">
        <f>U232+U238+U249+U252</f>
        <v>0</v>
      </c>
      <c r="V231" s="144">
        <v>229</v>
      </c>
      <c r="W231" s="144">
        <f t="shared" ref="W231:AC231" si="127">W232+W238+W249+W252</f>
        <v>0</v>
      </c>
      <c r="X231" s="144">
        <f t="shared" si="127"/>
        <v>0</v>
      </c>
      <c r="Y231" s="144">
        <f t="shared" si="127"/>
        <v>0</v>
      </c>
      <c r="Z231" s="144">
        <f t="shared" si="127"/>
        <v>0</v>
      </c>
      <c r="AA231" s="144">
        <f t="shared" si="127"/>
        <v>0</v>
      </c>
      <c r="AB231" s="144">
        <f t="shared" si="127"/>
        <v>0</v>
      </c>
      <c r="AC231" s="144">
        <f t="shared" si="127"/>
        <v>0</v>
      </c>
      <c r="AD231" s="32">
        <f t="shared" si="126"/>
        <v>127251</v>
      </c>
      <c r="AE231" s="32">
        <f t="shared" si="126"/>
        <v>80762.839999999982</v>
      </c>
      <c r="AF231" s="126">
        <f>AE231*100/AD231</f>
        <v>63.46735192650744</v>
      </c>
    </row>
    <row r="232" spans="1:32" s="3" customFormat="1" ht="15.75" x14ac:dyDescent="0.25">
      <c r="A232" s="7" t="s">
        <v>230</v>
      </c>
      <c r="B232" s="13" t="s">
        <v>211</v>
      </c>
      <c r="C232" s="23"/>
      <c r="D232" s="24"/>
      <c r="E232" s="17"/>
      <c r="F232" s="82">
        <f>SUM(F233:F237)</f>
        <v>12000</v>
      </c>
      <c r="G232" s="89">
        <f t="shared" si="116"/>
        <v>0</v>
      </c>
      <c r="H232" s="18">
        <f t="shared" si="107"/>
        <v>12000</v>
      </c>
      <c r="I232" s="54">
        <f t="shared" ref="I232:Q232" si="128">SUM(I233:I237)</f>
        <v>10800</v>
      </c>
      <c r="J232" s="55">
        <f t="shared" si="128"/>
        <v>0</v>
      </c>
      <c r="K232" s="55">
        <f t="shared" si="128"/>
        <v>0</v>
      </c>
      <c r="L232" s="55">
        <f t="shared" si="128"/>
        <v>1200</v>
      </c>
      <c r="M232" s="55">
        <f t="shared" si="128"/>
        <v>0</v>
      </c>
      <c r="N232" s="55">
        <f t="shared" si="128"/>
        <v>0</v>
      </c>
      <c r="O232" s="55">
        <f t="shared" si="128"/>
        <v>0</v>
      </c>
      <c r="P232" s="55">
        <f t="shared" si="128"/>
        <v>0</v>
      </c>
      <c r="Q232" s="56">
        <f t="shared" si="128"/>
        <v>0</v>
      </c>
      <c r="R232" s="169">
        <f>SUM(R233:R237)</f>
        <v>7381.55</v>
      </c>
      <c r="S232" s="89">
        <f t="shared" si="111"/>
        <v>-7381.55</v>
      </c>
      <c r="T232" s="216">
        <f t="shared" si="112"/>
        <v>0</v>
      </c>
      <c r="U232" s="144">
        <f>SUM(U233:U237)</f>
        <v>0</v>
      </c>
      <c r="V232" s="145">
        <f t="shared" ref="V232:AC232" si="129">SUM(V233:V237)</f>
        <v>0</v>
      </c>
      <c r="W232" s="145">
        <f t="shared" si="129"/>
        <v>0</v>
      </c>
      <c r="X232" s="145">
        <f t="shared" si="129"/>
        <v>0</v>
      </c>
      <c r="Y232" s="145">
        <f t="shared" si="129"/>
        <v>0</v>
      </c>
      <c r="Z232" s="145">
        <f t="shared" si="129"/>
        <v>0</v>
      </c>
      <c r="AA232" s="145">
        <f t="shared" si="129"/>
        <v>0</v>
      </c>
      <c r="AB232" s="145">
        <f t="shared" si="129"/>
        <v>0</v>
      </c>
      <c r="AC232" s="146">
        <f t="shared" si="129"/>
        <v>0</v>
      </c>
      <c r="AD232" s="33">
        <v>14000</v>
      </c>
      <c r="AE232" s="33">
        <f>724.5+556.35+3329.68+814.22+561.91+123.23+10.49+1698.97+2218.69+23.57</f>
        <v>10061.609999999999</v>
      </c>
      <c r="AF232" s="127">
        <f>AE232*100/AD232</f>
        <v>71.868642857142845</v>
      </c>
    </row>
    <row r="233" spans="1:32" outlineLevel="1" x14ac:dyDescent="0.25">
      <c r="A233" s="4" t="s">
        <v>231</v>
      </c>
      <c r="B233" s="75" t="s">
        <v>938</v>
      </c>
      <c r="C233" s="25"/>
      <c r="D233" s="92">
        <v>1</v>
      </c>
      <c r="E233" s="110">
        <v>3000</v>
      </c>
      <c r="F233" s="93">
        <f>D233*E233</f>
        <v>3000</v>
      </c>
      <c r="G233" s="74">
        <f t="shared" si="116"/>
        <v>0</v>
      </c>
      <c r="H233" s="95">
        <f t="shared" si="107"/>
        <v>3000</v>
      </c>
      <c r="I233" s="112">
        <v>2500</v>
      </c>
      <c r="J233" s="57"/>
      <c r="K233" s="57"/>
      <c r="L233" s="57">
        <v>500</v>
      </c>
      <c r="M233" s="57"/>
      <c r="N233" s="57"/>
      <c r="O233" s="57"/>
      <c r="P233" s="68"/>
      <c r="Q233" s="58"/>
      <c r="R233" s="170">
        <f>2127.56+599.11</f>
        <v>2726.67</v>
      </c>
      <c r="S233" s="89">
        <f t="shared" si="111"/>
        <v>-2726.67</v>
      </c>
      <c r="T233" s="216">
        <f t="shared" si="112"/>
        <v>0</v>
      </c>
      <c r="U233" s="147"/>
      <c r="V233" s="148"/>
      <c r="W233" s="148"/>
      <c r="X233" s="148"/>
      <c r="Y233" s="148"/>
      <c r="Z233" s="148"/>
      <c r="AA233" s="148"/>
      <c r="AB233" s="149"/>
      <c r="AC233" s="150"/>
      <c r="AD233" s="76"/>
      <c r="AE233" s="76"/>
      <c r="AF233" s="128"/>
    </row>
    <row r="234" spans="1:32" outlineLevel="1" x14ac:dyDescent="0.25">
      <c r="A234" s="4" t="s">
        <v>232</v>
      </c>
      <c r="B234" s="75" t="s">
        <v>939</v>
      </c>
      <c r="C234" s="25"/>
      <c r="D234" s="92">
        <v>1</v>
      </c>
      <c r="E234" s="110">
        <v>4000</v>
      </c>
      <c r="F234" s="93">
        <f>D234*E234</f>
        <v>4000</v>
      </c>
      <c r="G234" s="74">
        <f t="shared" si="116"/>
        <v>0</v>
      </c>
      <c r="H234" s="95">
        <f t="shared" si="107"/>
        <v>4000</v>
      </c>
      <c r="I234" s="112">
        <v>3800</v>
      </c>
      <c r="J234" s="57"/>
      <c r="K234" s="57"/>
      <c r="L234" s="57">
        <v>200</v>
      </c>
      <c r="M234" s="57"/>
      <c r="N234" s="57"/>
      <c r="O234" s="57"/>
      <c r="P234" s="68"/>
      <c r="Q234" s="58"/>
      <c r="R234" s="170">
        <v>2040.31</v>
      </c>
      <c r="S234" s="89">
        <f t="shared" si="111"/>
        <v>-2040.31</v>
      </c>
      <c r="T234" s="216">
        <f t="shared" si="112"/>
        <v>0</v>
      </c>
      <c r="U234" s="147"/>
      <c r="V234" s="148"/>
      <c r="W234" s="148"/>
      <c r="X234" s="148"/>
      <c r="Y234" s="148"/>
      <c r="Z234" s="148"/>
      <c r="AA234" s="148"/>
      <c r="AB234" s="149"/>
      <c r="AC234" s="150"/>
      <c r="AD234" s="76"/>
      <c r="AE234" s="76"/>
      <c r="AF234" s="128"/>
    </row>
    <row r="235" spans="1:32" outlineLevel="1" x14ac:dyDescent="0.25">
      <c r="A235" s="4" t="s">
        <v>233</v>
      </c>
      <c r="B235" s="75" t="s">
        <v>940</v>
      </c>
      <c r="C235" s="25"/>
      <c r="D235" s="92">
        <v>1</v>
      </c>
      <c r="E235" s="110">
        <v>1000</v>
      </c>
      <c r="F235" s="93">
        <f>D235*E235</f>
        <v>1000</v>
      </c>
      <c r="G235" s="74">
        <f t="shared" si="116"/>
        <v>0</v>
      </c>
      <c r="H235" s="95">
        <f t="shared" si="107"/>
        <v>1000</v>
      </c>
      <c r="I235" s="112">
        <v>1000</v>
      </c>
      <c r="J235" s="57"/>
      <c r="K235" s="57"/>
      <c r="L235" s="57"/>
      <c r="M235" s="57"/>
      <c r="N235" s="57"/>
      <c r="O235" s="57"/>
      <c r="P235" s="68"/>
      <c r="Q235" s="58"/>
      <c r="R235" s="170">
        <v>679.72</v>
      </c>
      <c r="S235" s="89">
        <f t="shared" si="111"/>
        <v>-679.72</v>
      </c>
      <c r="T235" s="216">
        <f t="shared" si="112"/>
        <v>0</v>
      </c>
      <c r="U235" s="147"/>
      <c r="V235" s="148"/>
      <c r="W235" s="148"/>
      <c r="X235" s="148"/>
      <c r="Y235" s="148"/>
      <c r="Z235" s="148"/>
      <c r="AA235" s="148"/>
      <c r="AB235" s="149"/>
      <c r="AC235" s="150"/>
      <c r="AD235" s="76"/>
      <c r="AE235" s="76"/>
      <c r="AF235" s="128"/>
    </row>
    <row r="236" spans="1:32" outlineLevel="1" x14ac:dyDescent="0.25">
      <c r="A236" s="4" t="s">
        <v>820</v>
      </c>
      <c r="B236" s="75" t="s">
        <v>941</v>
      </c>
      <c r="C236" s="25"/>
      <c r="D236" s="92">
        <v>1</v>
      </c>
      <c r="E236" s="110">
        <v>4000</v>
      </c>
      <c r="F236" s="93">
        <f>D236*E236</f>
        <v>4000</v>
      </c>
      <c r="G236" s="74">
        <f t="shared" si="116"/>
        <v>0</v>
      </c>
      <c r="H236" s="95">
        <f t="shared" si="107"/>
        <v>4000</v>
      </c>
      <c r="I236" s="112">
        <v>3500</v>
      </c>
      <c r="J236" s="57"/>
      <c r="K236" s="57"/>
      <c r="L236" s="57">
        <v>500</v>
      </c>
      <c r="M236" s="57"/>
      <c r="N236" s="57"/>
      <c r="O236" s="57"/>
      <c r="P236" s="68"/>
      <c r="Q236" s="58"/>
      <c r="R236" s="170">
        <v>1830.46</v>
      </c>
      <c r="S236" s="89">
        <f t="shared" si="111"/>
        <v>-1830.46</v>
      </c>
      <c r="T236" s="216">
        <f t="shared" si="112"/>
        <v>0</v>
      </c>
      <c r="U236" s="147"/>
      <c r="V236" s="148"/>
      <c r="W236" s="148"/>
      <c r="X236" s="148"/>
      <c r="Y236" s="148"/>
      <c r="Z236" s="148"/>
      <c r="AA236" s="148"/>
      <c r="AB236" s="149"/>
      <c r="AC236" s="150"/>
      <c r="AD236" s="76"/>
      <c r="AE236" s="76"/>
      <c r="AF236" s="128"/>
    </row>
    <row r="237" spans="1:32" outlineLevel="1" x14ac:dyDescent="0.25">
      <c r="A237" s="4" t="s">
        <v>821</v>
      </c>
      <c r="B237" s="75" t="s">
        <v>47</v>
      </c>
      <c r="C237" s="25"/>
      <c r="D237" s="92"/>
      <c r="E237" s="110"/>
      <c r="F237" s="93">
        <f>D237*E237</f>
        <v>0</v>
      </c>
      <c r="G237" s="74">
        <f t="shared" si="116"/>
        <v>0</v>
      </c>
      <c r="H237" s="95">
        <f t="shared" si="107"/>
        <v>0</v>
      </c>
      <c r="I237" s="112"/>
      <c r="J237" s="57"/>
      <c r="K237" s="57"/>
      <c r="L237" s="57"/>
      <c r="M237" s="57"/>
      <c r="N237" s="57"/>
      <c r="O237" s="57"/>
      <c r="P237" s="68"/>
      <c r="Q237" s="58"/>
      <c r="R237" s="170">
        <v>104.39</v>
      </c>
      <c r="S237" s="89">
        <f t="shared" si="111"/>
        <v>-104.39</v>
      </c>
      <c r="T237" s="216">
        <f t="shared" si="112"/>
        <v>0</v>
      </c>
      <c r="U237" s="147"/>
      <c r="V237" s="148"/>
      <c r="W237" s="148"/>
      <c r="X237" s="148"/>
      <c r="Y237" s="148"/>
      <c r="Z237" s="148"/>
      <c r="AA237" s="148"/>
      <c r="AB237" s="149"/>
      <c r="AC237" s="150"/>
      <c r="AD237" s="76"/>
      <c r="AE237" s="76"/>
      <c r="AF237" s="128"/>
    </row>
    <row r="238" spans="1:32" s="3" customFormat="1" ht="15.75" x14ac:dyDescent="0.25">
      <c r="A238" s="7" t="s">
        <v>234</v>
      </c>
      <c r="B238" s="13" t="s">
        <v>229</v>
      </c>
      <c r="C238" s="23"/>
      <c r="D238" s="24"/>
      <c r="E238" s="17"/>
      <c r="F238" s="82">
        <f>SUM(F239:F248)</f>
        <v>88300</v>
      </c>
      <c r="G238" s="89">
        <f t="shared" si="116"/>
        <v>-3500.4255192500132</v>
      </c>
      <c r="H238" s="18">
        <f t="shared" si="107"/>
        <v>84799.574480749987</v>
      </c>
      <c r="I238" s="54">
        <f t="shared" ref="I238:Q238" si="130">SUM(I239:I248)</f>
        <v>13854</v>
      </c>
      <c r="J238" s="55">
        <f t="shared" si="130"/>
        <v>0</v>
      </c>
      <c r="K238" s="55">
        <f t="shared" si="130"/>
        <v>0</v>
      </c>
      <c r="L238" s="55">
        <f t="shared" si="130"/>
        <v>17457</v>
      </c>
      <c r="M238" s="55">
        <f t="shared" si="130"/>
        <v>0</v>
      </c>
      <c r="N238" s="55">
        <f t="shared" si="130"/>
        <v>0</v>
      </c>
      <c r="O238" s="55">
        <f t="shared" si="130"/>
        <v>0</v>
      </c>
      <c r="P238" s="55">
        <f t="shared" si="130"/>
        <v>48988.574480749994</v>
      </c>
      <c r="Q238" s="56">
        <f t="shared" si="130"/>
        <v>4500</v>
      </c>
      <c r="R238" s="169">
        <f>SUM(R239:R248)</f>
        <v>36110.559999999998</v>
      </c>
      <c r="S238" s="89">
        <f t="shared" si="111"/>
        <v>-36110.559999999998</v>
      </c>
      <c r="T238" s="216">
        <f t="shared" si="112"/>
        <v>0</v>
      </c>
      <c r="U238" s="144">
        <f>SUM(U239:U248)</f>
        <v>0</v>
      </c>
      <c r="V238" s="145">
        <f t="shared" ref="V238:AC238" si="131">SUM(V239:V248)</f>
        <v>0</v>
      </c>
      <c r="W238" s="145">
        <f t="shared" si="131"/>
        <v>0</v>
      </c>
      <c r="X238" s="145">
        <f t="shared" si="131"/>
        <v>0</v>
      </c>
      <c r="Y238" s="145">
        <f t="shared" si="131"/>
        <v>0</v>
      </c>
      <c r="Z238" s="145">
        <f t="shared" si="131"/>
        <v>0</v>
      </c>
      <c r="AA238" s="145">
        <f t="shared" si="131"/>
        <v>0</v>
      </c>
      <c r="AB238" s="145">
        <f t="shared" si="131"/>
        <v>0</v>
      </c>
      <c r="AC238" s="146">
        <f t="shared" si="131"/>
        <v>0</v>
      </c>
      <c r="AD238" s="33">
        <f>88681+700-14000-7640-3950+13200</f>
        <v>76991</v>
      </c>
      <c r="AE238" s="33">
        <f>136+5989.61+13771.71+742.34+8.61+186.76+1021.3+44.37+922.12+3102.14+50.03+250.14+126.1+6855.76+572.02+752.65+81.4+123.99+5462.14+14.09+20.62+35+389.58+30.3+789.17+127.08+500+100+250+300+167.48+8.38-1698.97-2218.69-23.57+31711.57</f>
        <v>70701.229999999981</v>
      </c>
      <c r="AF238" s="127">
        <f>AE238*100/AD238</f>
        <v>91.830512657323553</v>
      </c>
    </row>
    <row r="239" spans="1:32" outlineLevel="1" x14ac:dyDescent="0.25">
      <c r="A239" s="4" t="s">
        <v>822</v>
      </c>
      <c r="B239" s="75" t="s">
        <v>952</v>
      </c>
      <c r="C239" s="25"/>
      <c r="D239" s="92">
        <v>1</v>
      </c>
      <c r="E239" s="110">
        <v>2500</v>
      </c>
      <c r="F239" s="93">
        <f t="shared" ref="F239:F248" si="132">D239*E239</f>
        <v>2500</v>
      </c>
      <c r="G239" s="74">
        <f t="shared" si="116"/>
        <v>-0.24808849999999438</v>
      </c>
      <c r="H239" s="95">
        <f t="shared" si="107"/>
        <v>2499.7519115</v>
      </c>
      <c r="I239" s="112"/>
      <c r="J239" s="57"/>
      <c r="K239" s="57"/>
      <c r="L239" s="57"/>
      <c r="M239" s="57"/>
      <c r="N239" s="57"/>
      <c r="O239" s="57"/>
      <c r="P239" s="57">
        <v>2499.7519115</v>
      </c>
      <c r="Q239" s="58"/>
      <c r="R239" s="170">
        <v>647.75</v>
      </c>
      <c r="S239" s="89">
        <f t="shared" si="111"/>
        <v>-647.75</v>
      </c>
      <c r="T239" s="216">
        <f t="shared" si="112"/>
        <v>0</v>
      </c>
      <c r="U239" s="147"/>
      <c r="V239" s="148"/>
      <c r="W239" s="148"/>
      <c r="X239" s="148"/>
      <c r="Y239" s="148"/>
      <c r="Z239" s="148"/>
      <c r="AA239" s="148"/>
      <c r="AB239" s="148"/>
      <c r="AC239" s="150"/>
      <c r="AD239" s="76"/>
      <c r="AE239" s="76"/>
      <c r="AF239" s="128"/>
    </row>
    <row r="240" spans="1:32" outlineLevel="1" x14ac:dyDescent="0.25">
      <c r="A240" s="4" t="s">
        <v>823</v>
      </c>
      <c r="B240" s="75" t="s">
        <v>942</v>
      </c>
      <c r="C240" s="25"/>
      <c r="D240" s="92">
        <v>1</v>
      </c>
      <c r="E240" s="110">
        <v>6000</v>
      </c>
      <c r="F240" s="93">
        <f t="shared" si="132"/>
        <v>6000</v>
      </c>
      <c r="G240" s="74">
        <f t="shared" si="116"/>
        <v>-8.0147499999839056E-2</v>
      </c>
      <c r="H240" s="95">
        <f t="shared" si="107"/>
        <v>5999.9198525000002</v>
      </c>
      <c r="I240" s="112"/>
      <c r="J240" s="57"/>
      <c r="K240" s="57"/>
      <c r="L240" s="57">
        <v>1000</v>
      </c>
      <c r="M240" s="57"/>
      <c r="N240" s="57"/>
      <c r="O240" s="57"/>
      <c r="P240" s="57">
        <v>4999.9198525000002</v>
      </c>
      <c r="Q240" s="58"/>
      <c r="R240" s="170">
        <v>2231.34</v>
      </c>
      <c r="S240" s="89">
        <f t="shared" si="111"/>
        <v>-2231.34</v>
      </c>
      <c r="T240" s="216">
        <f t="shared" si="112"/>
        <v>0</v>
      </c>
      <c r="U240" s="147"/>
      <c r="V240" s="148"/>
      <c r="W240" s="148"/>
      <c r="X240" s="148"/>
      <c r="Y240" s="148"/>
      <c r="Z240" s="148"/>
      <c r="AA240" s="148"/>
      <c r="AB240" s="148"/>
      <c r="AC240" s="150"/>
      <c r="AD240" s="76"/>
      <c r="AE240" s="76"/>
      <c r="AF240" s="128"/>
    </row>
    <row r="241" spans="1:32" outlineLevel="1" x14ac:dyDescent="0.25">
      <c r="A241" s="4" t="s">
        <v>824</v>
      </c>
      <c r="B241" s="75" t="s">
        <v>943</v>
      </c>
      <c r="C241" s="25"/>
      <c r="D241" s="92">
        <v>1</v>
      </c>
      <c r="E241" s="110">
        <v>14000</v>
      </c>
      <c r="F241" s="93">
        <f t="shared" si="132"/>
        <v>14000</v>
      </c>
      <c r="G241" s="74">
        <f t="shared" si="116"/>
        <v>0.2557345000004716</v>
      </c>
      <c r="H241" s="95">
        <f t="shared" si="107"/>
        <v>14000.2557345</v>
      </c>
      <c r="I241" s="112"/>
      <c r="J241" s="57"/>
      <c r="K241" s="57"/>
      <c r="L241" s="57">
        <v>5657</v>
      </c>
      <c r="M241" s="57"/>
      <c r="N241" s="57"/>
      <c r="O241" s="57"/>
      <c r="P241" s="57">
        <v>8343.2557345000005</v>
      </c>
      <c r="Q241" s="58"/>
      <c r="R241" s="170">
        <v>5723.95</v>
      </c>
      <c r="S241" s="89">
        <f t="shared" si="111"/>
        <v>-5723.95</v>
      </c>
      <c r="T241" s="216">
        <f t="shared" si="112"/>
        <v>0</v>
      </c>
      <c r="U241" s="147"/>
      <c r="V241" s="148"/>
      <c r="W241" s="148"/>
      <c r="X241" s="148"/>
      <c r="Y241" s="148"/>
      <c r="Z241" s="148"/>
      <c r="AA241" s="148"/>
      <c r="AB241" s="148"/>
      <c r="AC241" s="150"/>
      <c r="AD241" s="76"/>
      <c r="AE241" s="76"/>
      <c r="AF241" s="128"/>
    </row>
    <row r="242" spans="1:32" outlineLevel="1" x14ac:dyDescent="0.25">
      <c r="A242" s="4" t="s">
        <v>825</v>
      </c>
      <c r="B242" s="75" t="s">
        <v>946</v>
      </c>
      <c r="C242" s="25"/>
      <c r="D242" s="92">
        <v>1</v>
      </c>
      <c r="E242" s="110">
        <v>6000</v>
      </c>
      <c r="F242" s="93">
        <f t="shared" si="132"/>
        <v>6000</v>
      </c>
      <c r="G242" s="74">
        <f t="shared" si="116"/>
        <v>-0.49617699999998877</v>
      </c>
      <c r="H242" s="95">
        <f t="shared" si="107"/>
        <v>5999.503823</v>
      </c>
      <c r="I242" s="112"/>
      <c r="J242" s="57"/>
      <c r="K242" s="57"/>
      <c r="L242" s="57">
        <v>500</v>
      </c>
      <c r="M242" s="57"/>
      <c r="N242" s="57"/>
      <c r="O242" s="57"/>
      <c r="P242" s="57">
        <v>5499.503823</v>
      </c>
      <c r="Q242" s="58"/>
      <c r="R242" s="170">
        <v>2357.7199999999998</v>
      </c>
      <c r="S242" s="89">
        <f t="shared" si="111"/>
        <v>-2357.7199999999998</v>
      </c>
      <c r="T242" s="216">
        <f t="shared" si="112"/>
        <v>0</v>
      </c>
      <c r="U242" s="147"/>
      <c r="V242" s="148"/>
      <c r="W242" s="148"/>
      <c r="X242" s="148"/>
      <c r="Y242" s="148"/>
      <c r="Z242" s="148"/>
      <c r="AA242" s="148"/>
      <c r="AB242" s="148"/>
      <c r="AC242" s="150"/>
      <c r="AD242" s="76"/>
      <c r="AE242" s="76"/>
      <c r="AF242" s="128"/>
    </row>
    <row r="243" spans="1:32" outlineLevel="1" x14ac:dyDescent="0.25">
      <c r="A243" s="4" t="s">
        <v>826</v>
      </c>
      <c r="B243" s="75" t="s">
        <v>944</v>
      </c>
      <c r="C243" s="25"/>
      <c r="D243" s="92">
        <v>1</v>
      </c>
      <c r="E243" s="110">
        <v>4000</v>
      </c>
      <c r="F243" s="93">
        <f t="shared" si="132"/>
        <v>4000</v>
      </c>
      <c r="G243" s="74">
        <f t="shared" si="116"/>
        <v>0</v>
      </c>
      <c r="H243" s="95">
        <f t="shared" si="107"/>
        <v>4000</v>
      </c>
      <c r="I243" s="112">
        <v>1000</v>
      </c>
      <c r="J243" s="57"/>
      <c r="K243" s="57"/>
      <c r="L243" s="57">
        <v>1000</v>
      </c>
      <c r="M243" s="57"/>
      <c r="N243" s="57"/>
      <c r="O243" s="57"/>
      <c r="P243" s="57">
        <v>2000</v>
      </c>
      <c r="Q243" s="58"/>
      <c r="R243" s="170">
        <v>14.15</v>
      </c>
      <c r="S243" s="89">
        <f t="shared" si="111"/>
        <v>-14.15</v>
      </c>
      <c r="T243" s="216">
        <f t="shared" si="112"/>
        <v>0</v>
      </c>
      <c r="U243" s="147"/>
      <c r="V243" s="148"/>
      <c r="W243" s="148"/>
      <c r="X243" s="148"/>
      <c r="Y243" s="148"/>
      <c r="Z243" s="148"/>
      <c r="AA243" s="148"/>
      <c r="AB243" s="148"/>
      <c r="AC243" s="150"/>
      <c r="AD243" s="76"/>
      <c r="AE243" s="76"/>
      <c r="AF243" s="128"/>
    </row>
    <row r="244" spans="1:32" outlineLevel="1" x14ac:dyDescent="0.25">
      <c r="A244" s="4" t="s">
        <v>827</v>
      </c>
      <c r="B244" s="75" t="s">
        <v>947</v>
      </c>
      <c r="C244" s="25"/>
      <c r="D244" s="92">
        <v>1</v>
      </c>
      <c r="E244" s="110">
        <v>33000</v>
      </c>
      <c r="F244" s="93">
        <f t="shared" si="132"/>
        <v>33000</v>
      </c>
      <c r="G244" s="74">
        <f t="shared" si="116"/>
        <v>0.30345424999541137</v>
      </c>
      <c r="H244" s="95">
        <f t="shared" si="107"/>
        <v>33000.303454249995</v>
      </c>
      <c r="I244" s="112">
        <v>10854</v>
      </c>
      <c r="J244" s="57"/>
      <c r="K244" s="57"/>
      <c r="L244" s="57">
        <v>5000</v>
      </c>
      <c r="M244" s="57"/>
      <c r="N244" s="57"/>
      <c r="O244" s="57"/>
      <c r="P244" s="57">
        <v>17146.303454249999</v>
      </c>
      <c r="Q244" s="58"/>
      <c r="R244" s="170">
        <v>10266.15</v>
      </c>
      <c r="S244" s="89">
        <f t="shared" si="111"/>
        <v>-10266.15</v>
      </c>
      <c r="T244" s="216">
        <f t="shared" si="112"/>
        <v>0</v>
      </c>
      <c r="U244" s="147"/>
      <c r="V244" s="148"/>
      <c r="W244" s="148"/>
      <c r="X244" s="148"/>
      <c r="Y244" s="148"/>
      <c r="Z244" s="148"/>
      <c r="AA244" s="148"/>
      <c r="AB244" s="148"/>
      <c r="AC244" s="150"/>
      <c r="AD244" s="76"/>
      <c r="AE244" s="76"/>
      <c r="AF244" s="128"/>
    </row>
    <row r="245" spans="1:32" outlineLevel="1" x14ac:dyDescent="0.25">
      <c r="A245" s="4" t="s">
        <v>828</v>
      </c>
      <c r="B245" s="75" t="s">
        <v>948</v>
      </c>
      <c r="C245" s="25"/>
      <c r="D245" s="92">
        <v>1</v>
      </c>
      <c r="E245" s="110">
        <v>8500</v>
      </c>
      <c r="F245" s="93">
        <f t="shared" si="132"/>
        <v>8500</v>
      </c>
      <c r="G245" s="74">
        <f t="shared" si="116"/>
        <v>-0.16029499999967811</v>
      </c>
      <c r="H245" s="95">
        <f t="shared" si="107"/>
        <v>8499.8397050000003</v>
      </c>
      <c r="I245" s="112"/>
      <c r="J245" s="57"/>
      <c r="K245" s="57"/>
      <c r="L245" s="57"/>
      <c r="M245" s="57"/>
      <c r="N245" s="57"/>
      <c r="O245" s="57"/>
      <c r="P245" s="57">
        <v>8499.8397050000003</v>
      </c>
      <c r="Q245" s="58"/>
      <c r="R245" s="170">
        <v>3672.16</v>
      </c>
      <c r="S245" s="89">
        <f t="shared" si="111"/>
        <v>-3672.16</v>
      </c>
      <c r="T245" s="216">
        <f t="shared" si="112"/>
        <v>0</v>
      </c>
      <c r="U245" s="147"/>
      <c r="V245" s="148"/>
      <c r="W245" s="148"/>
      <c r="X245" s="148"/>
      <c r="Y245" s="148"/>
      <c r="Z245" s="148"/>
      <c r="AA245" s="148"/>
      <c r="AB245" s="148"/>
      <c r="AC245" s="150"/>
      <c r="AD245" s="76"/>
      <c r="AE245" s="76"/>
      <c r="AF245" s="128"/>
    </row>
    <row r="246" spans="1:32" outlineLevel="1" x14ac:dyDescent="0.25">
      <c r="A246" s="4" t="s">
        <v>829</v>
      </c>
      <c r="B246" s="75" t="s">
        <v>945</v>
      </c>
      <c r="C246" s="25"/>
      <c r="D246" s="92">
        <v>1</v>
      </c>
      <c r="E246" s="110">
        <v>2000</v>
      </c>
      <c r="F246" s="93">
        <f t="shared" si="132"/>
        <v>2000</v>
      </c>
      <c r="G246" s="74">
        <f t="shared" si="116"/>
        <v>0</v>
      </c>
      <c r="H246" s="95">
        <f t="shared" si="107"/>
        <v>2000</v>
      </c>
      <c r="I246" s="112">
        <v>2000</v>
      </c>
      <c r="J246" s="57"/>
      <c r="K246" s="57"/>
      <c r="L246" s="57"/>
      <c r="M246" s="57"/>
      <c r="N246" s="57"/>
      <c r="O246" s="57"/>
      <c r="P246" s="68"/>
      <c r="Q246" s="58"/>
      <c r="R246" s="170">
        <f>P246*Q246</f>
        <v>0</v>
      </c>
      <c r="S246" s="89">
        <f t="shared" si="111"/>
        <v>0</v>
      </c>
      <c r="T246" s="216">
        <f t="shared" si="112"/>
        <v>0</v>
      </c>
      <c r="U246" s="147"/>
      <c r="V246" s="148"/>
      <c r="W246" s="148"/>
      <c r="X246" s="148"/>
      <c r="Y246" s="148"/>
      <c r="Z246" s="148"/>
      <c r="AA246" s="148"/>
      <c r="AB246" s="149"/>
      <c r="AC246" s="150"/>
      <c r="AD246" s="76"/>
      <c r="AE246" s="76"/>
      <c r="AF246" s="128"/>
    </row>
    <row r="247" spans="1:32" outlineLevel="1" x14ac:dyDescent="0.25">
      <c r="A247" s="4" t="s">
        <v>830</v>
      </c>
      <c r="B247" s="75" t="s">
        <v>949</v>
      </c>
      <c r="C247" s="25"/>
      <c r="D247" s="92">
        <v>1</v>
      </c>
      <c r="E247" s="110">
        <v>300</v>
      </c>
      <c r="F247" s="93">
        <f t="shared" si="132"/>
        <v>300</v>
      </c>
      <c r="G247" s="74">
        <f t="shared" si="116"/>
        <v>0</v>
      </c>
      <c r="H247" s="95">
        <f t="shared" si="107"/>
        <v>300</v>
      </c>
      <c r="I247" s="112"/>
      <c r="J247" s="57"/>
      <c r="K247" s="57"/>
      <c r="L247" s="57">
        <v>300</v>
      </c>
      <c r="M247" s="57"/>
      <c r="N247" s="57"/>
      <c r="O247" s="57"/>
      <c r="P247" s="68"/>
      <c r="Q247" s="58"/>
      <c r="R247" s="170">
        <v>2.91</v>
      </c>
      <c r="S247" s="89">
        <f t="shared" si="111"/>
        <v>-2.91</v>
      </c>
      <c r="T247" s="216">
        <f t="shared" si="112"/>
        <v>0</v>
      </c>
      <c r="U247" s="147"/>
      <c r="V247" s="148"/>
      <c r="W247" s="148"/>
      <c r="X247" s="148"/>
      <c r="Y247" s="148"/>
      <c r="Z247" s="148"/>
      <c r="AA247" s="148"/>
      <c r="AB247" s="149"/>
      <c r="AC247" s="150"/>
      <c r="AD247" s="76"/>
      <c r="AE247" s="76"/>
      <c r="AF247" s="128"/>
    </row>
    <row r="248" spans="1:32" outlineLevel="1" x14ac:dyDescent="0.25">
      <c r="A248" s="4" t="s">
        <v>831</v>
      </c>
      <c r="B248" s="75" t="s">
        <v>47</v>
      </c>
      <c r="C248" s="25"/>
      <c r="D248" s="92">
        <v>1</v>
      </c>
      <c r="E248" s="110">
        <v>12000</v>
      </c>
      <c r="F248" s="93">
        <f t="shared" si="132"/>
        <v>12000</v>
      </c>
      <c r="G248" s="74">
        <f t="shared" si="116"/>
        <v>-3500</v>
      </c>
      <c r="H248" s="95">
        <f t="shared" si="107"/>
        <v>8500</v>
      </c>
      <c r="I248" s="112"/>
      <c r="J248" s="57"/>
      <c r="K248" s="57"/>
      <c r="L248" s="57">
        <v>4000</v>
      </c>
      <c r="M248" s="57"/>
      <c r="N248" s="57"/>
      <c r="O248" s="57"/>
      <c r="P248" s="68"/>
      <c r="Q248" s="58">
        <v>4500</v>
      </c>
      <c r="R248" s="170">
        <v>11194.43</v>
      </c>
      <c r="S248" s="89">
        <f t="shared" si="111"/>
        <v>-11194.43</v>
      </c>
      <c r="T248" s="216">
        <f t="shared" si="112"/>
        <v>0</v>
      </c>
      <c r="U248" s="147"/>
      <c r="V248" s="148"/>
      <c r="W248" s="148"/>
      <c r="X248" s="148"/>
      <c r="Y248" s="148"/>
      <c r="Z248" s="148"/>
      <c r="AA248" s="148"/>
      <c r="AB248" s="149"/>
      <c r="AC248" s="150"/>
      <c r="AD248" s="76"/>
      <c r="AE248" s="76"/>
      <c r="AF248" s="128"/>
    </row>
    <row r="249" spans="1:32" s="3" customFormat="1" ht="15.75" x14ac:dyDescent="0.25">
      <c r="A249" s="7" t="s">
        <v>235</v>
      </c>
      <c r="B249" s="13" t="s">
        <v>710</v>
      </c>
      <c r="C249" s="23"/>
      <c r="D249" s="24"/>
      <c r="E249" s="17"/>
      <c r="F249" s="33">
        <f>SUM(F250:F251)</f>
        <v>0</v>
      </c>
      <c r="G249" s="89">
        <f>H249-F249</f>
        <v>0</v>
      </c>
      <c r="H249" s="18">
        <f t="shared" si="107"/>
        <v>0</v>
      </c>
      <c r="I249" s="54">
        <f t="shared" ref="I249:Q249" si="133">SUM(I250:I251)</f>
        <v>0</v>
      </c>
      <c r="J249" s="55">
        <f t="shared" si="133"/>
        <v>0</v>
      </c>
      <c r="K249" s="55">
        <f t="shared" si="133"/>
        <v>0</v>
      </c>
      <c r="L249" s="55">
        <f t="shared" si="133"/>
        <v>0</v>
      </c>
      <c r="M249" s="55">
        <f t="shared" si="133"/>
        <v>0</v>
      </c>
      <c r="N249" s="55">
        <f t="shared" si="133"/>
        <v>0</v>
      </c>
      <c r="O249" s="55">
        <f t="shared" si="133"/>
        <v>0</v>
      </c>
      <c r="P249" s="55">
        <f t="shared" si="133"/>
        <v>0</v>
      </c>
      <c r="Q249" s="56">
        <f t="shared" si="133"/>
        <v>0</v>
      </c>
      <c r="R249" s="172">
        <f>SUM(R250:R251)</f>
        <v>0</v>
      </c>
      <c r="S249" s="89">
        <f t="shared" si="111"/>
        <v>0</v>
      </c>
      <c r="T249" s="216">
        <f t="shared" si="112"/>
        <v>0</v>
      </c>
      <c r="U249" s="144">
        <f>SUM(U250:U251)</f>
        <v>0</v>
      </c>
      <c r="V249" s="145">
        <f t="shared" ref="V249:AC249" si="134">SUM(V250:V251)</f>
        <v>0</v>
      </c>
      <c r="W249" s="145">
        <f t="shared" si="134"/>
        <v>0</v>
      </c>
      <c r="X249" s="145">
        <f t="shared" si="134"/>
        <v>0</v>
      </c>
      <c r="Y249" s="145">
        <f t="shared" si="134"/>
        <v>0</v>
      </c>
      <c r="Z249" s="145">
        <f t="shared" si="134"/>
        <v>0</v>
      </c>
      <c r="AA249" s="145">
        <f t="shared" si="134"/>
        <v>0</v>
      </c>
      <c r="AB249" s="145">
        <f t="shared" si="134"/>
        <v>0</v>
      </c>
      <c r="AC249" s="146">
        <f t="shared" si="134"/>
        <v>0</v>
      </c>
      <c r="AD249" s="33"/>
      <c r="AE249" s="33">
        <f>SUM(AE250:AE251)</f>
        <v>0</v>
      </c>
      <c r="AF249" s="127" t="e">
        <f>AE249*100/AD249</f>
        <v>#DIV/0!</v>
      </c>
    </row>
    <row r="250" spans="1:32" outlineLevel="1" x14ac:dyDescent="0.25">
      <c r="A250" s="4" t="s">
        <v>832</v>
      </c>
      <c r="B250" s="75"/>
      <c r="C250" s="25"/>
      <c r="D250" s="92"/>
      <c r="E250" s="110"/>
      <c r="F250" s="93">
        <f>D250*E250</f>
        <v>0</v>
      </c>
      <c r="G250" s="74">
        <f>H250-F250</f>
        <v>0</v>
      </c>
      <c r="H250" s="95">
        <f t="shared" si="107"/>
        <v>0</v>
      </c>
      <c r="I250" s="112"/>
      <c r="J250" s="57"/>
      <c r="K250" s="57"/>
      <c r="L250" s="57"/>
      <c r="M250" s="57"/>
      <c r="N250" s="57"/>
      <c r="O250" s="57"/>
      <c r="P250" s="68"/>
      <c r="Q250" s="58"/>
      <c r="R250" s="170">
        <f>P250*Q250</f>
        <v>0</v>
      </c>
      <c r="S250" s="89">
        <f t="shared" si="111"/>
        <v>0</v>
      </c>
      <c r="T250" s="216">
        <f t="shared" si="112"/>
        <v>0</v>
      </c>
      <c r="U250" s="147"/>
      <c r="V250" s="148"/>
      <c r="W250" s="148"/>
      <c r="X250" s="148"/>
      <c r="Y250" s="148"/>
      <c r="Z250" s="148"/>
      <c r="AA250" s="148"/>
      <c r="AB250" s="149"/>
      <c r="AC250" s="150"/>
      <c r="AD250" s="76"/>
      <c r="AE250" s="76"/>
      <c r="AF250" s="128"/>
    </row>
    <row r="251" spans="1:32" outlineLevel="1" x14ac:dyDescent="0.25">
      <c r="A251" s="4" t="s">
        <v>833</v>
      </c>
      <c r="B251" s="75"/>
      <c r="C251" s="25"/>
      <c r="D251" s="92"/>
      <c r="E251" s="110"/>
      <c r="F251" s="93">
        <f>D251*E251</f>
        <v>0</v>
      </c>
      <c r="G251" s="74">
        <f>H251-F251</f>
        <v>0</v>
      </c>
      <c r="H251" s="95">
        <f t="shared" si="107"/>
        <v>0</v>
      </c>
      <c r="I251" s="112"/>
      <c r="J251" s="57"/>
      <c r="K251" s="57"/>
      <c r="L251" s="57"/>
      <c r="M251" s="57"/>
      <c r="N251" s="57"/>
      <c r="O251" s="57"/>
      <c r="P251" s="68"/>
      <c r="Q251" s="58"/>
      <c r="R251" s="170">
        <f>P251*Q251</f>
        <v>0</v>
      </c>
      <c r="S251" s="89">
        <f t="shared" si="111"/>
        <v>0</v>
      </c>
      <c r="T251" s="216">
        <f t="shared" si="112"/>
        <v>0</v>
      </c>
      <c r="U251" s="147"/>
      <c r="V251" s="148"/>
      <c r="W251" s="148"/>
      <c r="X251" s="148"/>
      <c r="Y251" s="148"/>
      <c r="Z251" s="148"/>
      <c r="AA251" s="148"/>
      <c r="AB251" s="149"/>
      <c r="AC251" s="150"/>
      <c r="AD251" s="76"/>
      <c r="AE251" s="76"/>
      <c r="AF251" s="128"/>
    </row>
    <row r="252" spans="1:32" s="3" customFormat="1" ht="15.75" x14ac:dyDescent="0.25">
      <c r="A252" s="7" t="s">
        <v>711</v>
      </c>
      <c r="B252" s="13" t="s">
        <v>337</v>
      </c>
      <c r="C252" s="23"/>
      <c r="D252" s="24"/>
      <c r="E252" s="17"/>
      <c r="F252" s="33">
        <f>SUM(F253:F254)</f>
        <v>16000</v>
      </c>
      <c r="G252" s="89">
        <f t="shared" si="116"/>
        <v>0</v>
      </c>
      <c r="H252" s="18">
        <f t="shared" si="107"/>
        <v>16000</v>
      </c>
      <c r="I252" s="54">
        <f t="shared" ref="I252:Q252" si="135">SUM(I253:I254)</f>
        <v>0</v>
      </c>
      <c r="J252" s="55">
        <f t="shared" si="135"/>
        <v>0</v>
      </c>
      <c r="K252" s="55">
        <f t="shared" si="135"/>
        <v>0</v>
      </c>
      <c r="L252" s="55">
        <f t="shared" si="135"/>
        <v>0</v>
      </c>
      <c r="M252" s="55">
        <f t="shared" si="135"/>
        <v>0</v>
      </c>
      <c r="N252" s="55">
        <f t="shared" si="135"/>
        <v>0</v>
      </c>
      <c r="O252" s="55">
        <f t="shared" si="135"/>
        <v>0</v>
      </c>
      <c r="P252" s="55">
        <f t="shared" si="135"/>
        <v>0</v>
      </c>
      <c r="Q252" s="56">
        <f t="shared" si="135"/>
        <v>16000</v>
      </c>
      <c r="R252" s="172">
        <f>SUM(R253:R254)</f>
        <v>6055.16</v>
      </c>
      <c r="S252" s="89">
        <f t="shared" si="111"/>
        <v>-6055.16</v>
      </c>
      <c r="T252" s="216">
        <f t="shared" si="112"/>
        <v>0</v>
      </c>
      <c r="U252" s="144">
        <f>SUM(U253:U254)</f>
        <v>0</v>
      </c>
      <c r="V252" s="145">
        <f t="shared" ref="V252:AC252" si="136">SUM(V253:V254)</f>
        <v>0</v>
      </c>
      <c r="W252" s="145">
        <f t="shared" si="136"/>
        <v>0</v>
      </c>
      <c r="X252" s="145">
        <f t="shared" si="136"/>
        <v>0</v>
      </c>
      <c r="Y252" s="145">
        <f t="shared" si="136"/>
        <v>0</v>
      </c>
      <c r="Z252" s="145">
        <f t="shared" si="136"/>
        <v>0</v>
      </c>
      <c r="AA252" s="145">
        <f t="shared" si="136"/>
        <v>0</v>
      </c>
      <c r="AB252" s="145">
        <f t="shared" si="136"/>
        <v>0</v>
      </c>
      <c r="AC252" s="146">
        <f t="shared" si="136"/>
        <v>0</v>
      </c>
      <c r="AD252" s="33">
        <f>49460-13200</f>
        <v>36260</v>
      </c>
      <c r="AE252" s="33">
        <f>SUM(AE253:AE254)</f>
        <v>0</v>
      </c>
      <c r="AF252" s="127">
        <f>AE252*100/AD252</f>
        <v>0</v>
      </c>
    </row>
    <row r="253" spans="1:32" outlineLevel="1" x14ac:dyDescent="0.25">
      <c r="A253" s="4" t="s">
        <v>834</v>
      </c>
      <c r="B253" s="75" t="s">
        <v>337</v>
      </c>
      <c r="C253" s="25"/>
      <c r="D253" s="92">
        <v>1</v>
      </c>
      <c r="E253" s="110">
        <v>16000</v>
      </c>
      <c r="F253" s="93">
        <f>D253*E253</f>
        <v>16000</v>
      </c>
      <c r="G253" s="74">
        <f t="shared" si="116"/>
        <v>0</v>
      </c>
      <c r="H253" s="95">
        <f t="shared" si="107"/>
        <v>16000</v>
      </c>
      <c r="I253" s="112"/>
      <c r="J253" s="57"/>
      <c r="K253" s="57"/>
      <c r="L253" s="57"/>
      <c r="M253" s="57"/>
      <c r="N253" s="57"/>
      <c r="O253" s="57"/>
      <c r="P253" s="68"/>
      <c r="Q253" s="58">
        <v>16000</v>
      </c>
      <c r="R253" s="215">
        <v>6055.16</v>
      </c>
      <c r="S253" s="89">
        <f t="shared" si="111"/>
        <v>-6055.16</v>
      </c>
      <c r="T253" s="216">
        <f t="shared" si="112"/>
        <v>0</v>
      </c>
      <c r="U253" s="147"/>
      <c r="V253" s="148"/>
      <c r="W253" s="148"/>
      <c r="X253" s="148"/>
      <c r="Y253" s="148"/>
      <c r="Z253" s="148"/>
      <c r="AA253" s="148"/>
      <c r="AB253" s="149"/>
      <c r="AC253" s="150"/>
      <c r="AD253" s="76"/>
      <c r="AE253" s="76"/>
      <c r="AF253" s="128"/>
    </row>
    <row r="254" spans="1:32" outlineLevel="1" x14ac:dyDescent="0.25">
      <c r="A254" s="4" t="s">
        <v>835</v>
      </c>
      <c r="B254" s="75"/>
      <c r="C254" s="25"/>
      <c r="D254" s="92"/>
      <c r="E254" s="110"/>
      <c r="F254" s="93">
        <f>D254*E254</f>
        <v>0</v>
      </c>
      <c r="G254" s="74">
        <f t="shared" si="116"/>
        <v>0</v>
      </c>
      <c r="H254" s="95">
        <f t="shared" ref="H254:H264" si="137">SUM(I254:Q254)</f>
        <v>0</v>
      </c>
      <c r="I254" s="112"/>
      <c r="J254" s="57"/>
      <c r="K254" s="57"/>
      <c r="L254" s="57"/>
      <c r="M254" s="57"/>
      <c r="N254" s="57"/>
      <c r="O254" s="57"/>
      <c r="P254" s="68"/>
      <c r="Q254" s="58"/>
      <c r="R254" s="170">
        <f>P254*Q254</f>
        <v>0</v>
      </c>
      <c r="S254" s="89">
        <f t="shared" si="111"/>
        <v>0</v>
      </c>
      <c r="T254" s="216">
        <f t="shared" si="112"/>
        <v>0</v>
      </c>
      <c r="U254" s="147"/>
      <c r="V254" s="148"/>
      <c r="W254" s="148"/>
      <c r="X254" s="148"/>
      <c r="Y254" s="148"/>
      <c r="Z254" s="148"/>
      <c r="AA254" s="148"/>
      <c r="AB254" s="149"/>
      <c r="AC254" s="150"/>
      <c r="AD254" s="76"/>
      <c r="AE254" s="76"/>
      <c r="AF254" s="128"/>
    </row>
    <row r="255" spans="1:32" s="2" customFormat="1" ht="21" x14ac:dyDescent="0.35">
      <c r="A255" s="8" t="s">
        <v>236</v>
      </c>
      <c r="B255" s="12" t="s">
        <v>338</v>
      </c>
      <c r="C255" s="21"/>
      <c r="D255" s="22"/>
      <c r="E255" s="15"/>
      <c r="F255" s="84">
        <f>F256+F259+F262</f>
        <v>301294</v>
      </c>
      <c r="G255" s="89">
        <f t="shared" si="116"/>
        <v>0</v>
      </c>
      <c r="H255" s="16">
        <f t="shared" si="137"/>
        <v>301294</v>
      </c>
      <c r="I255" s="51">
        <f t="shared" ref="I255:AE255" si="138">I256+I259+I262</f>
        <v>170512.86</v>
      </c>
      <c r="J255" s="51">
        <f t="shared" si="138"/>
        <v>0</v>
      </c>
      <c r="K255" s="51">
        <f t="shared" si="138"/>
        <v>0</v>
      </c>
      <c r="L255" s="51">
        <f t="shared" si="138"/>
        <v>17850</v>
      </c>
      <c r="M255" s="51">
        <f t="shared" si="138"/>
        <v>0</v>
      </c>
      <c r="N255" s="51">
        <f t="shared" si="138"/>
        <v>0</v>
      </c>
      <c r="O255" s="51">
        <f t="shared" si="138"/>
        <v>0</v>
      </c>
      <c r="P255" s="51">
        <f t="shared" si="138"/>
        <v>112931.14</v>
      </c>
      <c r="Q255" s="59">
        <f t="shared" si="138"/>
        <v>0</v>
      </c>
      <c r="R255" s="168">
        <f>R256+R259+R262</f>
        <v>97422.22</v>
      </c>
      <c r="S255" s="89">
        <f t="shared" si="111"/>
        <v>-97422.22</v>
      </c>
      <c r="T255" s="216">
        <f t="shared" si="112"/>
        <v>0</v>
      </c>
      <c r="U255" s="144">
        <f>U256+U259+U262</f>
        <v>0</v>
      </c>
      <c r="V255" s="144">
        <f t="shared" ref="V255:AC255" si="139">V256+V259+V262</f>
        <v>0</v>
      </c>
      <c r="W255" s="144">
        <f t="shared" si="139"/>
        <v>0</v>
      </c>
      <c r="X255" s="144">
        <f t="shared" si="139"/>
        <v>0</v>
      </c>
      <c r="Y255" s="144">
        <f t="shared" si="139"/>
        <v>0</v>
      </c>
      <c r="Z255" s="144">
        <f t="shared" si="139"/>
        <v>0</v>
      </c>
      <c r="AA255" s="144">
        <f t="shared" si="139"/>
        <v>0</v>
      </c>
      <c r="AB255" s="144">
        <f t="shared" si="139"/>
        <v>0</v>
      </c>
      <c r="AC255" s="151">
        <f t="shared" si="139"/>
        <v>0</v>
      </c>
      <c r="AD255" s="32">
        <f t="shared" si="138"/>
        <v>301294</v>
      </c>
      <c r="AE255" s="32">
        <f t="shared" si="138"/>
        <v>274685.26</v>
      </c>
      <c r="AF255" s="126">
        <f>AE255*100/AD255</f>
        <v>91.168513146627546</v>
      </c>
    </row>
    <row r="256" spans="1:32" s="3" customFormat="1" ht="15.75" x14ac:dyDescent="0.25">
      <c r="A256" s="7" t="s">
        <v>237</v>
      </c>
      <c r="B256" s="13" t="s">
        <v>339</v>
      </c>
      <c r="C256" s="23"/>
      <c r="D256" s="24"/>
      <c r="E256" s="17"/>
      <c r="F256" s="82">
        <f>SUM(F257:F258)</f>
        <v>220295</v>
      </c>
      <c r="G256" s="89">
        <f t="shared" si="116"/>
        <v>0</v>
      </c>
      <c r="H256" s="18">
        <f t="shared" si="137"/>
        <v>220295</v>
      </c>
      <c r="I256" s="54">
        <f t="shared" ref="I256:Q256" si="140">SUM(I257:I258)</f>
        <v>89513.86</v>
      </c>
      <c r="J256" s="55">
        <f t="shared" si="140"/>
        <v>0</v>
      </c>
      <c r="K256" s="55">
        <f t="shared" si="140"/>
        <v>0</v>
      </c>
      <c r="L256" s="55">
        <f t="shared" si="140"/>
        <v>17850</v>
      </c>
      <c r="M256" s="55">
        <f t="shared" si="140"/>
        <v>0</v>
      </c>
      <c r="N256" s="55">
        <f t="shared" si="140"/>
        <v>0</v>
      </c>
      <c r="O256" s="55">
        <f t="shared" si="140"/>
        <v>0</v>
      </c>
      <c r="P256" s="55">
        <f t="shared" si="140"/>
        <v>112931.14</v>
      </c>
      <c r="Q256" s="56">
        <f t="shared" si="140"/>
        <v>0</v>
      </c>
      <c r="R256" s="169">
        <f>SUM(R257:R258)</f>
        <v>74227.710000000006</v>
      </c>
      <c r="S256" s="89">
        <f t="shared" si="111"/>
        <v>-74227.710000000006</v>
      </c>
      <c r="T256" s="216">
        <f t="shared" si="112"/>
        <v>0</v>
      </c>
      <c r="U256" s="144">
        <f>SUM(U257:U258)</f>
        <v>0</v>
      </c>
      <c r="V256" s="145">
        <f t="shared" ref="V256:AC256" si="141">SUM(V257:V258)</f>
        <v>0</v>
      </c>
      <c r="W256" s="145">
        <f t="shared" si="141"/>
        <v>0</v>
      </c>
      <c r="X256" s="145">
        <f t="shared" si="141"/>
        <v>0</v>
      </c>
      <c r="Y256" s="145">
        <f t="shared" si="141"/>
        <v>0</v>
      </c>
      <c r="Z256" s="145">
        <f t="shared" si="141"/>
        <v>0</v>
      </c>
      <c r="AA256" s="145">
        <f t="shared" si="141"/>
        <v>0</v>
      </c>
      <c r="AB256" s="145">
        <f t="shared" si="141"/>
        <v>0</v>
      </c>
      <c r="AC256" s="146">
        <f t="shared" si="141"/>
        <v>0</v>
      </c>
      <c r="AD256" s="33">
        <v>220295</v>
      </c>
      <c r="AE256" s="33">
        <f>192713.35+8637.12</f>
        <v>201350.47</v>
      </c>
      <c r="AF256" s="127">
        <f>AE256*100/AD256</f>
        <v>91.400381306883958</v>
      </c>
    </row>
    <row r="257" spans="1:32" outlineLevel="1" x14ac:dyDescent="0.25">
      <c r="A257" s="4" t="s">
        <v>238</v>
      </c>
      <c r="B257" s="75" t="s">
        <v>339</v>
      </c>
      <c r="C257" s="25"/>
      <c r="D257" s="92">
        <v>1</v>
      </c>
      <c r="E257" s="110">
        <v>220295</v>
      </c>
      <c r="F257" s="93">
        <f t="shared" ref="F257:F266" si="142">D257*E257</f>
        <v>220295</v>
      </c>
      <c r="G257" s="74">
        <f t="shared" si="116"/>
        <v>0</v>
      </c>
      <c r="H257" s="95">
        <f t="shared" si="137"/>
        <v>220295</v>
      </c>
      <c r="I257" s="112">
        <f>F257-P257-10000-5173-2677</f>
        <v>89513.86</v>
      </c>
      <c r="J257" s="57"/>
      <c r="K257" s="57"/>
      <c r="L257" s="57">
        <v>17850</v>
      </c>
      <c r="M257" s="57"/>
      <c r="N257" s="57"/>
      <c r="O257" s="57"/>
      <c r="P257" s="68">
        <f>(F165+F208+F229+F355+F375+F398+F431+F453+F480+F500+F517+F579)*0.7</f>
        <v>112931.14</v>
      </c>
      <c r="Q257" s="58"/>
      <c r="R257" s="170">
        <v>74227.710000000006</v>
      </c>
      <c r="S257" s="89">
        <f t="shared" si="111"/>
        <v>-74227.710000000006</v>
      </c>
      <c r="T257" s="216">
        <f t="shared" si="112"/>
        <v>0</v>
      </c>
      <c r="U257" s="147"/>
      <c r="V257" s="148"/>
      <c r="W257" s="148"/>
      <c r="X257" s="148"/>
      <c r="Y257" s="148"/>
      <c r="Z257" s="148"/>
      <c r="AA257" s="148"/>
      <c r="AB257" s="149">
        <f>(O165+O208+O229+O355+O375+O398+O431+O453+O480+O500+O517+O579)*0.7</f>
        <v>0</v>
      </c>
      <c r="AC257" s="150"/>
      <c r="AD257" s="76"/>
      <c r="AE257" s="76"/>
      <c r="AF257" s="128"/>
    </row>
    <row r="258" spans="1:32" outlineLevel="1" x14ac:dyDescent="0.25">
      <c r="A258" s="4" t="s">
        <v>239</v>
      </c>
      <c r="B258" s="75" t="s">
        <v>646</v>
      </c>
      <c r="C258" s="25"/>
      <c r="D258" s="92"/>
      <c r="E258" s="110"/>
      <c r="F258" s="93">
        <f t="shared" si="142"/>
        <v>0</v>
      </c>
      <c r="G258" s="74">
        <f t="shared" si="116"/>
        <v>0</v>
      </c>
      <c r="H258" s="95">
        <f t="shared" si="137"/>
        <v>0</v>
      </c>
      <c r="I258" s="112"/>
      <c r="J258" s="57"/>
      <c r="K258" s="57"/>
      <c r="L258" s="57"/>
      <c r="M258" s="57"/>
      <c r="N258" s="57"/>
      <c r="O258" s="57"/>
      <c r="P258" s="68"/>
      <c r="Q258" s="58"/>
      <c r="R258" s="170">
        <f>P258*Q258</f>
        <v>0</v>
      </c>
      <c r="S258" s="89">
        <f t="shared" si="111"/>
        <v>0</v>
      </c>
      <c r="T258" s="216">
        <f t="shared" si="112"/>
        <v>0</v>
      </c>
      <c r="U258" s="147"/>
      <c r="V258" s="148"/>
      <c r="W258" s="148"/>
      <c r="X258" s="148"/>
      <c r="Y258" s="148"/>
      <c r="Z258" s="148"/>
      <c r="AA258" s="148"/>
      <c r="AB258" s="149"/>
      <c r="AC258" s="150"/>
      <c r="AD258" s="76"/>
      <c r="AE258" s="76"/>
      <c r="AF258" s="128"/>
    </row>
    <row r="259" spans="1:32" s="3" customFormat="1" ht="15.75" x14ac:dyDescent="0.25">
      <c r="A259" s="7" t="s">
        <v>240</v>
      </c>
      <c r="B259" s="13" t="s">
        <v>340</v>
      </c>
      <c r="C259" s="23"/>
      <c r="D259" s="24"/>
      <c r="E259" s="17"/>
      <c r="F259" s="82">
        <f t="shared" ref="F259:Q259" si="143">SUM(F260:F261)</f>
        <v>35539</v>
      </c>
      <c r="G259" s="89">
        <f t="shared" si="116"/>
        <v>0</v>
      </c>
      <c r="H259" s="18">
        <f t="shared" si="137"/>
        <v>35539</v>
      </c>
      <c r="I259" s="54">
        <f t="shared" si="143"/>
        <v>35539</v>
      </c>
      <c r="J259" s="55">
        <f t="shared" si="143"/>
        <v>0</v>
      </c>
      <c r="K259" s="55">
        <f t="shared" si="143"/>
        <v>0</v>
      </c>
      <c r="L259" s="55">
        <f t="shared" si="143"/>
        <v>0</v>
      </c>
      <c r="M259" s="55">
        <f t="shared" si="143"/>
        <v>0</v>
      </c>
      <c r="N259" s="55">
        <f t="shared" si="143"/>
        <v>0</v>
      </c>
      <c r="O259" s="55">
        <f t="shared" si="143"/>
        <v>0</v>
      </c>
      <c r="P259" s="55">
        <f t="shared" si="143"/>
        <v>0</v>
      </c>
      <c r="Q259" s="56">
        <f t="shared" si="143"/>
        <v>0</v>
      </c>
      <c r="R259" s="169">
        <f>SUM(R260:R261)</f>
        <v>11998.26</v>
      </c>
      <c r="S259" s="89">
        <f t="shared" si="111"/>
        <v>-11998.26</v>
      </c>
      <c r="T259" s="216">
        <f t="shared" si="112"/>
        <v>0</v>
      </c>
      <c r="U259" s="144">
        <f>SUM(U260:U261)</f>
        <v>0</v>
      </c>
      <c r="V259" s="145">
        <f t="shared" ref="V259:AC259" si="144">SUM(V260:V261)</f>
        <v>0</v>
      </c>
      <c r="W259" s="145">
        <f t="shared" si="144"/>
        <v>0</v>
      </c>
      <c r="X259" s="145">
        <f t="shared" si="144"/>
        <v>0</v>
      </c>
      <c r="Y259" s="145">
        <f t="shared" si="144"/>
        <v>0</v>
      </c>
      <c r="Z259" s="145">
        <f t="shared" si="144"/>
        <v>0</v>
      </c>
      <c r="AA259" s="145">
        <f t="shared" si="144"/>
        <v>0</v>
      </c>
      <c r="AB259" s="145">
        <f t="shared" si="144"/>
        <v>0</v>
      </c>
      <c r="AC259" s="146">
        <f t="shared" si="144"/>
        <v>0</v>
      </c>
      <c r="AD259" s="33">
        <v>35539</v>
      </c>
      <c r="AE259" s="33">
        <f>31491.29+1297.79</f>
        <v>32789.08</v>
      </c>
      <c r="AF259" s="127">
        <f>AE259*100/AD259</f>
        <v>92.262247108810044</v>
      </c>
    </row>
    <row r="260" spans="1:32" outlineLevel="1" x14ac:dyDescent="0.25">
      <c r="A260" s="4" t="s">
        <v>241</v>
      </c>
      <c r="B260" s="75" t="s">
        <v>645</v>
      </c>
      <c r="C260" s="25"/>
      <c r="D260" s="92">
        <v>1</v>
      </c>
      <c r="E260" s="110">
        <v>35539</v>
      </c>
      <c r="F260" s="93">
        <f t="shared" si="142"/>
        <v>35539</v>
      </c>
      <c r="G260" s="74">
        <f t="shared" si="116"/>
        <v>0</v>
      </c>
      <c r="H260" s="95">
        <f t="shared" si="137"/>
        <v>35539</v>
      </c>
      <c r="I260" s="112">
        <f>F260</f>
        <v>35539</v>
      </c>
      <c r="J260" s="57"/>
      <c r="K260" s="57"/>
      <c r="L260" s="57"/>
      <c r="M260" s="57"/>
      <c r="N260" s="57"/>
      <c r="O260" s="57"/>
      <c r="P260" s="68"/>
      <c r="Q260" s="58"/>
      <c r="R260" s="170">
        <v>11998.26</v>
      </c>
      <c r="S260" s="89">
        <f t="shared" si="111"/>
        <v>-11998.26</v>
      </c>
      <c r="T260" s="216">
        <f t="shared" si="112"/>
        <v>0</v>
      </c>
      <c r="U260" s="147">
        <f>Q260</f>
        <v>0</v>
      </c>
      <c r="V260" s="148"/>
      <c r="W260" s="148"/>
      <c r="X260" s="148"/>
      <c r="Y260" s="148"/>
      <c r="Z260" s="148"/>
      <c r="AA260" s="148"/>
      <c r="AB260" s="149"/>
      <c r="AC260" s="150"/>
      <c r="AD260" s="76"/>
      <c r="AE260" s="76"/>
      <c r="AF260" s="128"/>
    </row>
    <row r="261" spans="1:32" outlineLevel="1" x14ac:dyDescent="0.25">
      <c r="A261" s="4" t="s">
        <v>242</v>
      </c>
      <c r="B261" s="75" t="s">
        <v>642</v>
      </c>
      <c r="C261" s="25"/>
      <c r="D261" s="92"/>
      <c r="E261" s="110"/>
      <c r="F261" s="93">
        <f t="shared" si="142"/>
        <v>0</v>
      </c>
      <c r="G261" s="74">
        <f t="shared" si="116"/>
        <v>0</v>
      </c>
      <c r="H261" s="95">
        <f t="shared" si="137"/>
        <v>0</v>
      </c>
      <c r="I261" s="112"/>
      <c r="J261" s="57"/>
      <c r="K261" s="57"/>
      <c r="L261" s="57"/>
      <c r="M261" s="57"/>
      <c r="N261" s="57"/>
      <c r="O261" s="57"/>
      <c r="P261" s="68"/>
      <c r="Q261" s="58"/>
      <c r="R261" s="170">
        <f>P261*Q261</f>
        <v>0</v>
      </c>
      <c r="S261" s="89">
        <f t="shared" ref="S261:S324" si="145">T261-R261</f>
        <v>0</v>
      </c>
      <c r="T261" s="216">
        <f t="shared" ref="T261:T324" si="146">+U261+V261+W261+X261+Y261+Z261+AA261+AB261+AC261</f>
        <v>0</v>
      </c>
      <c r="U261" s="147"/>
      <c r="V261" s="148"/>
      <c r="W261" s="148"/>
      <c r="X261" s="148"/>
      <c r="Y261" s="148"/>
      <c r="Z261" s="148"/>
      <c r="AA261" s="148"/>
      <c r="AB261" s="149"/>
      <c r="AC261" s="150"/>
      <c r="AD261" s="76"/>
      <c r="AE261" s="76"/>
      <c r="AF261" s="128"/>
    </row>
    <row r="262" spans="1:32" s="3" customFormat="1" ht="15.75" x14ac:dyDescent="0.25">
      <c r="A262" s="7" t="s">
        <v>243</v>
      </c>
      <c r="B262" s="13" t="s">
        <v>341</v>
      </c>
      <c r="C262" s="23"/>
      <c r="D262" s="24"/>
      <c r="E262" s="17"/>
      <c r="F262" s="82">
        <f t="shared" ref="F262:Q262" si="147">SUM(F263:F266)</f>
        <v>45460</v>
      </c>
      <c r="G262" s="89">
        <f t="shared" si="116"/>
        <v>0</v>
      </c>
      <c r="H262" s="18">
        <f t="shared" si="137"/>
        <v>45460</v>
      </c>
      <c r="I262" s="54">
        <f t="shared" si="147"/>
        <v>45460</v>
      </c>
      <c r="J262" s="55">
        <f t="shared" si="147"/>
        <v>0</v>
      </c>
      <c r="K262" s="55">
        <f t="shared" si="147"/>
        <v>0</v>
      </c>
      <c r="L262" s="55">
        <f t="shared" si="147"/>
        <v>0</v>
      </c>
      <c r="M262" s="55">
        <f t="shared" si="147"/>
        <v>0</v>
      </c>
      <c r="N262" s="55">
        <f t="shared" si="147"/>
        <v>0</v>
      </c>
      <c r="O262" s="55">
        <f t="shared" si="147"/>
        <v>0</v>
      </c>
      <c r="P262" s="55">
        <f t="shared" si="147"/>
        <v>0</v>
      </c>
      <c r="Q262" s="56">
        <f t="shared" si="147"/>
        <v>0</v>
      </c>
      <c r="R262" s="169">
        <f>SUM(R263:R267)</f>
        <v>11196.25</v>
      </c>
      <c r="S262" s="89">
        <f t="shared" si="145"/>
        <v>-11196.25</v>
      </c>
      <c r="T262" s="216">
        <f t="shared" si="146"/>
        <v>0</v>
      </c>
      <c r="U262" s="169">
        <f>SUM(U263:U267)</f>
        <v>0</v>
      </c>
      <c r="V262" s="169">
        <f t="shared" ref="V262:AC262" si="148">SUM(V263:V267)</f>
        <v>0</v>
      </c>
      <c r="W262" s="169">
        <f t="shared" si="148"/>
        <v>0</v>
      </c>
      <c r="X262" s="169">
        <f t="shared" si="148"/>
        <v>0</v>
      </c>
      <c r="Y262" s="169">
        <f t="shared" si="148"/>
        <v>0</v>
      </c>
      <c r="Z262" s="169">
        <f t="shared" si="148"/>
        <v>0</v>
      </c>
      <c r="AA262" s="169">
        <f t="shared" si="148"/>
        <v>0</v>
      </c>
      <c r="AB262" s="169">
        <f t="shared" si="148"/>
        <v>0</v>
      </c>
      <c r="AC262" s="169">
        <f t="shared" si="148"/>
        <v>0</v>
      </c>
      <c r="AD262" s="33">
        <f>41260+4200</f>
        <v>45460</v>
      </c>
      <c r="AE262" s="33">
        <f>28453.36+224.96+8767.39+3100</f>
        <v>40545.71</v>
      </c>
      <c r="AF262" s="127">
        <f>AE262*100/AD262</f>
        <v>89.189859216893979</v>
      </c>
    </row>
    <row r="263" spans="1:32" outlineLevel="1" x14ac:dyDescent="0.25">
      <c r="A263" s="4" t="s">
        <v>244</v>
      </c>
      <c r="B263" s="75" t="s">
        <v>643</v>
      </c>
      <c r="C263" s="25"/>
      <c r="D263" s="92">
        <v>1</v>
      </c>
      <c r="E263" s="110">
        <v>16000</v>
      </c>
      <c r="F263" s="93">
        <f t="shared" si="142"/>
        <v>16000</v>
      </c>
      <c r="G263" s="74">
        <f t="shared" si="116"/>
        <v>0</v>
      </c>
      <c r="H263" s="95">
        <f t="shared" si="137"/>
        <v>16000</v>
      </c>
      <c r="I263" s="112">
        <f>F263</f>
        <v>16000</v>
      </c>
      <c r="J263" s="57"/>
      <c r="K263" s="57"/>
      <c r="L263" s="57"/>
      <c r="M263" s="57"/>
      <c r="N263" s="57"/>
      <c r="O263" s="57"/>
      <c r="P263" s="68"/>
      <c r="Q263" s="58"/>
      <c r="R263" s="170">
        <v>5355</v>
      </c>
      <c r="S263" s="89">
        <f t="shared" si="145"/>
        <v>-5355</v>
      </c>
      <c r="T263" s="216">
        <f t="shared" si="146"/>
        <v>0</v>
      </c>
      <c r="U263" s="147">
        <f>Q263</f>
        <v>0</v>
      </c>
      <c r="V263" s="148"/>
      <c r="W263" s="148"/>
      <c r="X263" s="148"/>
      <c r="Y263" s="148"/>
      <c r="Z263" s="148"/>
      <c r="AA263" s="148"/>
      <c r="AB263" s="149"/>
      <c r="AC263" s="150"/>
      <c r="AD263" s="76"/>
      <c r="AE263" s="76"/>
      <c r="AF263" s="128"/>
    </row>
    <row r="264" spans="1:32" outlineLevel="1" x14ac:dyDescent="0.25">
      <c r="A264" s="4" t="s">
        <v>245</v>
      </c>
      <c r="B264" s="75" t="s">
        <v>644</v>
      </c>
      <c r="C264" s="25"/>
      <c r="D264" s="92">
        <v>1</v>
      </c>
      <c r="E264" s="110">
        <v>15200</v>
      </c>
      <c r="F264" s="93">
        <f t="shared" si="142"/>
        <v>15200</v>
      </c>
      <c r="G264" s="74">
        <f t="shared" si="116"/>
        <v>0</v>
      </c>
      <c r="H264" s="95">
        <f t="shared" si="137"/>
        <v>15200</v>
      </c>
      <c r="I264" s="112">
        <f>F264</f>
        <v>15200</v>
      </c>
      <c r="J264" s="57"/>
      <c r="K264" s="57"/>
      <c r="L264" s="57"/>
      <c r="M264" s="57"/>
      <c r="N264" s="57"/>
      <c r="O264" s="57"/>
      <c r="P264" s="68"/>
      <c r="Q264" s="58"/>
      <c r="R264" s="170">
        <v>4588.8900000000003</v>
      </c>
      <c r="S264" s="89">
        <f t="shared" si="145"/>
        <v>-4588.8900000000003</v>
      </c>
      <c r="T264" s="216">
        <f t="shared" si="146"/>
        <v>0</v>
      </c>
      <c r="U264" s="147">
        <f>Q264</f>
        <v>0</v>
      </c>
      <c r="V264" s="148"/>
      <c r="W264" s="148"/>
      <c r="X264" s="148"/>
      <c r="Y264" s="148"/>
      <c r="Z264" s="148"/>
      <c r="AA264" s="148"/>
      <c r="AB264" s="149"/>
      <c r="AC264" s="150"/>
      <c r="AD264" s="76"/>
      <c r="AE264" s="76"/>
      <c r="AF264" s="128"/>
    </row>
    <row r="265" spans="1:32" outlineLevel="1" x14ac:dyDescent="0.25">
      <c r="A265" s="4" t="s">
        <v>647</v>
      </c>
      <c r="B265" s="75" t="s">
        <v>641</v>
      </c>
      <c r="C265" s="25"/>
      <c r="D265" s="92">
        <v>1</v>
      </c>
      <c r="E265" s="110">
        <v>10000</v>
      </c>
      <c r="F265" s="93">
        <f t="shared" si="142"/>
        <v>10000</v>
      </c>
      <c r="G265" s="74"/>
      <c r="H265" s="95"/>
      <c r="I265" s="112">
        <v>10000</v>
      </c>
      <c r="J265" s="57"/>
      <c r="K265" s="57"/>
      <c r="L265" s="57"/>
      <c r="M265" s="57"/>
      <c r="N265" s="57"/>
      <c r="O265" s="57"/>
      <c r="P265" s="68"/>
      <c r="Q265" s="58"/>
      <c r="R265" s="170">
        <f>P265*Q265</f>
        <v>0</v>
      </c>
      <c r="S265" s="89">
        <f t="shared" si="145"/>
        <v>0</v>
      </c>
      <c r="T265" s="216">
        <f t="shared" si="146"/>
        <v>0</v>
      </c>
      <c r="U265" s="147"/>
      <c r="V265" s="148"/>
      <c r="W265" s="148"/>
      <c r="X265" s="148"/>
      <c r="Y265" s="148"/>
      <c r="Z265" s="148"/>
      <c r="AA265" s="148"/>
      <c r="AB265" s="149"/>
      <c r="AC265" s="150"/>
      <c r="AD265" s="76"/>
      <c r="AE265" s="76"/>
      <c r="AF265" s="128"/>
    </row>
    <row r="266" spans="1:32" outlineLevel="1" x14ac:dyDescent="0.25">
      <c r="A266" s="4" t="s">
        <v>959</v>
      </c>
      <c r="B266" s="75" t="s">
        <v>894</v>
      </c>
      <c r="C266" s="25"/>
      <c r="D266" s="92">
        <v>1</v>
      </c>
      <c r="E266" s="110">
        <v>4260</v>
      </c>
      <c r="F266" s="93">
        <f t="shared" si="142"/>
        <v>4260</v>
      </c>
      <c r="G266" s="74">
        <f t="shared" si="116"/>
        <v>0</v>
      </c>
      <c r="H266" s="95">
        <f t="shared" ref="H266:H333" si="149">SUM(I266:Q266)</f>
        <v>4260</v>
      </c>
      <c r="I266" s="112">
        <f>F266</f>
        <v>4260</v>
      </c>
      <c r="J266" s="57"/>
      <c r="K266" s="57"/>
      <c r="L266" s="57"/>
      <c r="M266" s="57"/>
      <c r="N266" s="57"/>
      <c r="O266" s="57"/>
      <c r="P266" s="68"/>
      <c r="Q266" s="58"/>
      <c r="R266" s="170">
        <v>991.67</v>
      </c>
      <c r="S266" s="89">
        <f t="shared" si="145"/>
        <v>-991.67</v>
      </c>
      <c r="T266" s="216">
        <f t="shared" si="146"/>
        <v>0</v>
      </c>
      <c r="U266" s="147">
        <f>Q266</f>
        <v>0</v>
      </c>
      <c r="V266" s="148"/>
      <c r="W266" s="148"/>
      <c r="X266" s="148"/>
      <c r="Y266" s="148"/>
      <c r="Z266" s="148"/>
      <c r="AA266" s="148"/>
      <c r="AB266" s="149"/>
      <c r="AC266" s="150"/>
      <c r="AD266" s="76"/>
      <c r="AE266" s="76"/>
      <c r="AF266" s="128"/>
    </row>
    <row r="267" spans="1:32" s="192" customFormat="1" outlineLevel="1" x14ac:dyDescent="0.25">
      <c r="A267" s="178" t="s">
        <v>1006</v>
      </c>
      <c r="B267" s="179" t="s">
        <v>1018</v>
      </c>
      <c r="C267" s="180"/>
      <c r="D267" s="181"/>
      <c r="E267" s="182"/>
      <c r="F267" s="183"/>
      <c r="G267" s="184"/>
      <c r="H267" s="185"/>
      <c r="I267" s="186"/>
      <c r="J267" s="187"/>
      <c r="K267" s="187"/>
      <c r="L267" s="187"/>
      <c r="M267" s="187"/>
      <c r="N267" s="187"/>
      <c r="O267" s="187"/>
      <c r="P267" s="188"/>
      <c r="Q267" s="189"/>
      <c r="R267" s="183">
        <v>260.69</v>
      </c>
      <c r="S267" s="89">
        <f t="shared" si="145"/>
        <v>-260.69</v>
      </c>
      <c r="T267" s="216">
        <f t="shared" si="146"/>
        <v>0</v>
      </c>
      <c r="U267" s="186"/>
      <c r="V267" s="187"/>
      <c r="W267" s="187"/>
      <c r="X267" s="187"/>
      <c r="Y267" s="187"/>
      <c r="Z267" s="187"/>
      <c r="AA267" s="187"/>
      <c r="AB267" s="188"/>
      <c r="AC267" s="189"/>
      <c r="AD267" s="190"/>
      <c r="AE267" s="190"/>
      <c r="AF267" s="191"/>
    </row>
    <row r="268" spans="1:32" s="2" customFormat="1" ht="21" x14ac:dyDescent="0.35">
      <c r="A268" s="8" t="s">
        <v>246</v>
      </c>
      <c r="B268" s="12" t="s">
        <v>522</v>
      </c>
      <c r="C268" s="21"/>
      <c r="D268" s="22"/>
      <c r="E268" s="22"/>
      <c r="F268" s="84">
        <f>F269+F274+F278+F281+F286+F291+F295+F298+F301+F305+F312+F313+F314+F315+F316+F317+F318+F319+F320+F321+F322+F323</f>
        <v>49864.999999999993</v>
      </c>
      <c r="G268" s="89">
        <f t="shared" si="116"/>
        <v>-5.9999999866704457E-3</v>
      </c>
      <c r="H268" s="16">
        <f t="shared" si="149"/>
        <v>49864.994000000006</v>
      </c>
      <c r="I268" s="51">
        <f t="shared" ref="I268:AE268" si="150">I269+I274+I278+I281+I286+I291+I295+I298+I301+I305+I312+I313+I314+I315+I316+I317+I318+I319+I320+I321+I322+I323</f>
        <v>40900.002000000008</v>
      </c>
      <c r="J268" s="52">
        <f t="shared" si="150"/>
        <v>4500</v>
      </c>
      <c r="K268" s="52">
        <f t="shared" si="150"/>
        <v>4464.9919999999993</v>
      </c>
      <c r="L268" s="52">
        <f t="shared" si="150"/>
        <v>0</v>
      </c>
      <c r="M268" s="52">
        <f t="shared" si="150"/>
        <v>0</v>
      </c>
      <c r="N268" s="52">
        <f t="shared" si="150"/>
        <v>0</v>
      </c>
      <c r="O268" s="52">
        <f t="shared" si="150"/>
        <v>0</v>
      </c>
      <c r="P268" s="52">
        <f t="shared" si="150"/>
        <v>0</v>
      </c>
      <c r="Q268" s="53">
        <f t="shared" si="150"/>
        <v>0</v>
      </c>
      <c r="R268" s="168">
        <f>R269+R274+R278+R281+R286+R291+R295+R298+R301+R305+R312+R313+R314+R315+R316+R317+R318+R319+R320+R321+R322+R323+R310</f>
        <v>11601.61</v>
      </c>
      <c r="S268" s="89">
        <f t="shared" si="145"/>
        <v>-1245.6100000000006</v>
      </c>
      <c r="T268" s="216">
        <f t="shared" si="146"/>
        <v>10356</v>
      </c>
      <c r="U268" s="144">
        <f>U269+U274+U278+U281+U286+U291+U295+U298+U301+U305+U312+U313+U314+U315+U316+U317+U318+U319+U320+U321+U322+U323</f>
        <v>0</v>
      </c>
      <c r="V268" s="145">
        <f t="shared" ref="V268:AB268" si="151">V269+V274+V278+V281+V286+V291+V295+V298+V301+V305+V312+V313+V314+V315+V316+V317+V318+V319+V320+V321+V322+V323</f>
        <v>0</v>
      </c>
      <c r="W268" s="145">
        <f t="shared" si="151"/>
        <v>0</v>
      </c>
      <c r="X268" s="145">
        <f t="shared" si="151"/>
        <v>0</v>
      </c>
      <c r="Y268" s="145">
        <f t="shared" si="151"/>
        <v>0</v>
      </c>
      <c r="Z268" s="145">
        <v>280</v>
      </c>
      <c r="AA268" s="145">
        <f t="shared" si="151"/>
        <v>0</v>
      </c>
      <c r="AB268" s="145">
        <f t="shared" si="151"/>
        <v>0</v>
      </c>
      <c r="AC268" s="146">
        <v>10076</v>
      </c>
      <c r="AD268" s="32">
        <f t="shared" si="150"/>
        <v>68044</v>
      </c>
      <c r="AE268" s="32">
        <f t="shared" si="150"/>
        <v>50009.369999999995</v>
      </c>
      <c r="AF268" s="126">
        <f>AE268*100/AD268</f>
        <v>73.495635177238256</v>
      </c>
    </row>
    <row r="269" spans="1:32" s="3" customFormat="1" ht="15.75" x14ac:dyDescent="0.25">
      <c r="A269" s="7" t="s">
        <v>252</v>
      </c>
      <c r="B269" s="13" t="s">
        <v>497</v>
      </c>
      <c r="C269" s="23"/>
      <c r="D269" s="24"/>
      <c r="E269" s="17"/>
      <c r="F269" s="82">
        <f>SUM(F270:F273)</f>
        <v>1550</v>
      </c>
      <c r="G269" s="89">
        <f t="shared" si="116"/>
        <v>0</v>
      </c>
      <c r="H269" s="18">
        <f t="shared" si="149"/>
        <v>1550</v>
      </c>
      <c r="I269" s="54">
        <f t="shared" ref="I269:Q269" si="152">SUM(I270:I273)</f>
        <v>1550</v>
      </c>
      <c r="J269" s="55">
        <f t="shared" si="152"/>
        <v>0</v>
      </c>
      <c r="K269" s="55">
        <f t="shared" si="152"/>
        <v>0</v>
      </c>
      <c r="L269" s="55">
        <f t="shared" si="152"/>
        <v>0</v>
      </c>
      <c r="M269" s="55">
        <f>SUM(M270:M273)</f>
        <v>0</v>
      </c>
      <c r="N269" s="55">
        <f t="shared" si="152"/>
        <v>0</v>
      </c>
      <c r="O269" s="55">
        <f t="shared" si="152"/>
        <v>0</v>
      </c>
      <c r="P269" s="55">
        <f t="shared" si="152"/>
        <v>0</v>
      </c>
      <c r="Q269" s="56">
        <f t="shared" si="152"/>
        <v>0</v>
      </c>
      <c r="R269" s="169">
        <f>SUM(R270:R273)</f>
        <v>149.04</v>
      </c>
      <c r="S269" s="89">
        <f t="shared" si="145"/>
        <v>-149.04</v>
      </c>
      <c r="T269" s="216">
        <f t="shared" si="146"/>
        <v>0</v>
      </c>
      <c r="U269" s="144">
        <f t="shared" ref="U269:AC269" si="153">SUM(U270:U273)</f>
        <v>0</v>
      </c>
      <c r="V269" s="145">
        <f t="shared" si="153"/>
        <v>0</v>
      </c>
      <c r="W269" s="145">
        <f t="shared" si="153"/>
        <v>0</v>
      </c>
      <c r="X269" s="145">
        <f t="shared" si="153"/>
        <v>0</v>
      </c>
      <c r="Y269" s="145">
        <f t="shared" si="153"/>
        <v>0</v>
      </c>
      <c r="Z269" s="145">
        <f t="shared" si="153"/>
        <v>0</v>
      </c>
      <c r="AA269" s="145">
        <f t="shared" si="153"/>
        <v>0</v>
      </c>
      <c r="AB269" s="145">
        <f t="shared" si="153"/>
        <v>0</v>
      </c>
      <c r="AC269" s="146">
        <f t="shared" si="153"/>
        <v>0</v>
      </c>
      <c r="AD269" s="33">
        <v>1300</v>
      </c>
      <c r="AE269" s="33">
        <v>1009.59</v>
      </c>
      <c r="AF269" s="127">
        <f>AE269*100/AD269</f>
        <v>77.660769230769233</v>
      </c>
    </row>
    <row r="270" spans="1:32" outlineLevel="1" x14ac:dyDescent="0.25">
      <c r="A270" s="4" t="s">
        <v>253</v>
      </c>
      <c r="B270" s="75" t="s">
        <v>97</v>
      </c>
      <c r="C270" s="25" t="s">
        <v>98</v>
      </c>
      <c r="D270" s="92">
        <v>1</v>
      </c>
      <c r="E270" s="110">
        <v>1000</v>
      </c>
      <c r="F270" s="93">
        <f>+D270*E270</f>
        <v>1000</v>
      </c>
      <c r="G270" s="74">
        <f t="shared" si="116"/>
        <v>0</v>
      </c>
      <c r="H270" s="95">
        <f t="shared" si="149"/>
        <v>1000</v>
      </c>
      <c r="I270" s="112">
        <v>1000</v>
      </c>
      <c r="J270" s="57"/>
      <c r="K270" s="57"/>
      <c r="L270" s="57"/>
      <c r="M270" s="57"/>
      <c r="N270" s="57"/>
      <c r="O270" s="57"/>
      <c r="P270" s="68"/>
      <c r="Q270" s="58"/>
      <c r="R270" s="170">
        <f>+P270*Q270</f>
        <v>0</v>
      </c>
      <c r="S270" s="89">
        <f t="shared" si="145"/>
        <v>0</v>
      </c>
      <c r="T270" s="216">
        <f t="shared" si="146"/>
        <v>0</v>
      </c>
      <c r="U270" s="147"/>
      <c r="V270" s="148"/>
      <c r="W270" s="148"/>
      <c r="X270" s="148"/>
      <c r="Y270" s="148"/>
      <c r="Z270" s="148"/>
      <c r="AA270" s="148"/>
      <c r="AB270" s="149"/>
      <c r="AC270" s="150"/>
      <c r="AD270" s="76"/>
      <c r="AE270" s="76"/>
      <c r="AF270" s="128"/>
    </row>
    <row r="271" spans="1:32" outlineLevel="1" x14ac:dyDescent="0.25">
      <c r="A271" s="4" t="s">
        <v>254</v>
      </c>
      <c r="B271" s="75" t="s">
        <v>96</v>
      </c>
      <c r="C271" s="25" t="s">
        <v>99</v>
      </c>
      <c r="D271" s="92">
        <v>0</v>
      </c>
      <c r="E271" s="110">
        <v>0</v>
      </c>
      <c r="F271" s="93">
        <f>D271*E271</f>
        <v>0</v>
      </c>
      <c r="G271" s="74">
        <f t="shared" si="116"/>
        <v>0</v>
      </c>
      <c r="H271" s="95">
        <f t="shared" si="149"/>
        <v>0</v>
      </c>
      <c r="I271" s="112">
        <v>0</v>
      </c>
      <c r="J271" s="57"/>
      <c r="K271" s="57"/>
      <c r="L271" s="57"/>
      <c r="M271" s="57"/>
      <c r="N271" s="57"/>
      <c r="O271" s="57"/>
      <c r="P271" s="68"/>
      <c r="Q271" s="58"/>
      <c r="R271" s="170">
        <f>P271*Q271</f>
        <v>0</v>
      </c>
      <c r="S271" s="89">
        <f t="shared" si="145"/>
        <v>0</v>
      </c>
      <c r="T271" s="216">
        <f t="shared" si="146"/>
        <v>0</v>
      </c>
      <c r="U271" s="147"/>
      <c r="V271" s="148"/>
      <c r="W271" s="148"/>
      <c r="X271" s="148"/>
      <c r="Y271" s="148"/>
      <c r="Z271" s="148"/>
      <c r="AA271" s="148"/>
      <c r="AB271" s="149"/>
      <c r="AC271" s="150"/>
      <c r="AD271" s="76"/>
      <c r="AE271" s="76"/>
      <c r="AF271" s="128"/>
    </row>
    <row r="272" spans="1:32" outlineLevel="1" x14ac:dyDescent="0.25">
      <c r="A272" s="4" t="s">
        <v>255</v>
      </c>
      <c r="B272" s="75" t="s">
        <v>521</v>
      </c>
      <c r="C272" s="25" t="s">
        <v>100</v>
      </c>
      <c r="D272" s="92">
        <v>3</v>
      </c>
      <c r="E272" s="110">
        <v>150</v>
      </c>
      <c r="F272" s="93">
        <f>D272*E272</f>
        <v>450</v>
      </c>
      <c r="G272" s="74">
        <f t="shared" si="116"/>
        <v>0</v>
      </c>
      <c r="H272" s="95">
        <f t="shared" si="149"/>
        <v>450</v>
      </c>
      <c r="I272" s="112">
        <v>450</v>
      </c>
      <c r="J272" s="57"/>
      <c r="K272" s="57"/>
      <c r="L272" s="57"/>
      <c r="M272" s="57"/>
      <c r="N272" s="57"/>
      <c r="O272" s="57"/>
      <c r="P272" s="68"/>
      <c r="Q272" s="58"/>
      <c r="R272" s="170">
        <f>P272*Q272</f>
        <v>0</v>
      </c>
      <c r="S272" s="89">
        <f t="shared" si="145"/>
        <v>0</v>
      </c>
      <c r="T272" s="216">
        <f t="shared" si="146"/>
        <v>0</v>
      </c>
      <c r="U272" s="147"/>
      <c r="V272" s="148"/>
      <c r="W272" s="148"/>
      <c r="X272" s="148"/>
      <c r="Y272" s="148"/>
      <c r="Z272" s="148"/>
      <c r="AA272" s="148"/>
      <c r="AB272" s="149"/>
      <c r="AC272" s="150"/>
      <c r="AD272" s="76"/>
      <c r="AE272" s="76"/>
      <c r="AF272" s="128"/>
    </row>
    <row r="273" spans="1:32" outlineLevel="1" x14ac:dyDescent="0.25">
      <c r="A273" s="4" t="s">
        <v>256</v>
      </c>
      <c r="B273" s="75" t="s">
        <v>95</v>
      </c>
      <c r="C273" s="25" t="s">
        <v>98</v>
      </c>
      <c r="D273" s="92">
        <v>1</v>
      </c>
      <c r="E273" s="110">
        <v>100</v>
      </c>
      <c r="F273" s="93">
        <f>D273*E273</f>
        <v>100</v>
      </c>
      <c r="G273" s="74">
        <f t="shared" ref="G273:G339" si="154">H273-F273</f>
        <v>0</v>
      </c>
      <c r="H273" s="95">
        <f t="shared" si="149"/>
        <v>100</v>
      </c>
      <c r="I273" s="112">
        <v>100</v>
      </c>
      <c r="J273" s="57"/>
      <c r="K273" s="57"/>
      <c r="L273" s="57"/>
      <c r="M273" s="57"/>
      <c r="N273" s="57"/>
      <c r="O273" s="57"/>
      <c r="P273" s="68"/>
      <c r="Q273" s="58"/>
      <c r="R273" s="170">
        <v>149.04</v>
      </c>
      <c r="S273" s="89">
        <f t="shared" si="145"/>
        <v>-149.04</v>
      </c>
      <c r="T273" s="216">
        <f t="shared" si="146"/>
        <v>0</v>
      </c>
      <c r="U273" s="147"/>
      <c r="V273" s="148"/>
      <c r="W273" s="148"/>
      <c r="X273" s="148"/>
      <c r="Y273" s="148"/>
      <c r="Z273" s="148"/>
      <c r="AA273" s="148"/>
      <c r="AB273" s="149"/>
      <c r="AC273" s="150"/>
      <c r="AD273" s="76"/>
      <c r="AE273" s="76"/>
      <c r="AF273" s="128"/>
    </row>
    <row r="274" spans="1:32" s="3" customFormat="1" ht="15.75" x14ac:dyDescent="0.25">
      <c r="A274" s="7" t="s">
        <v>257</v>
      </c>
      <c r="B274" s="13" t="s">
        <v>498</v>
      </c>
      <c r="C274" s="23"/>
      <c r="D274" s="24"/>
      <c r="E274" s="17"/>
      <c r="F274" s="82">
        <f>SUM(F275:F277)</f>
        <v>3500</v>
      </c>
      <c r="G274" s="89">
        <f t="shared" si="154"/>
        <v>0</v>
      </c>
      <c r="H274" s="18">
        <f t="shared" si="149"/>
        <v>3500</v>
      </c>
      <c r="I274" s="54">
        <f t="shared" ref="I274:Q274" si="155">SUM(I275:I277)</f>
        <v>3500</v>
      </c>
      <c r="J274" s="55">
        <f t="shared" si="155"/>
        <v>0</v>
      </c>
      <c r="K274" s="55">
        <f t="shared" si="155"/>
        <v>0</v>
      </c>
      <c r="L274" s="55">
        <f t="shared" si="155"/>
        <v>0</v>
      </c>
      <c r="M274" s="55">
        <f t="shared" si="155"/>
        <v>0</v>
      </c>
      <c r="N274" s="55">
        <f t="shared" si="155"/>
        <v>0</v>
      </c>
      <c r="O274" s="55">
        <f t="shared" si="155"/>
        <v>0</v>
      </c>
      <c r="P274" s="55">
        <f t="shared" si="155"/>
        <v>0</v>
      </c>
      <c r="Q274" s="56">
        <f t="shared" si="155"/>
        <v>0</v>
      </c>
      <c r="R274" s="169">
        <f>SUM(R275:R277)</f>
        <v>2668.84</v>
      </c>
      <c r="S274" s="89">
        <f t="shared" si="145"/>
        <v>-2668.84</v>
      </c>
      <c r="T274" s="216">
        <f t="shared" si="146"/>
        <v>0</v>
      </c>
      <c r="U274" s="144">
        <f>SUM(U275:U277)</f>
        <v>0</v>
      </c>
      <c r="V274" s="145">
        <f t="shared" ref="V274:AC274" si="156">SUM(V275:V277)</f>
        <v>0</v>
      </c>
      <c r="W274" s="145">
        <f t="shared" si="156"/>
        <v>0</v>
      </c>
      <c r="X274" s="145">
        <f t="shared" si="156"/>
        <v>0</v>
      </c>
      <c r="Y274" s="145">
        <f t="shared" si="156"/>
        <v>0</v>
      </c>
      <c r="Z274" s="145">
        <f t="shared" si="156"/>
        <v>0</v>
      </c>
      <c r="AA274" s="145">
        <f t="shared" si="156"/>
        <v>0</v>
      </c>
      <c r="AB274" s="145">
        <f t="shared" si="156"/>
        <v>0</v>
      </c>
      <c r="AC274" s="146">
        <f t="shared" si="156"/>
        <v>0</v>
      </c>
      <c r="AD274" s="33">
        <v>3440</v>
      </c>
      <c r="AE274" s="33">
        <v>4172.66</v>
      </c>
      <c r="AF274" s="127">
        <f>AE274*100/AD274</f>
        <v>121.29825581395349</v>
      </c>
    </row>
    <row r="275" spans="1:32" outlineLevel="1" x14ac:dyDescent="0.25">
      <c r="A275" s="4" t="s">
        <v>258</v>
      </c>
      <c r="B275" s="75" t="s">
        <v>499</v>
      </c>
      <c r="C275" s="25" t="s">
        <v>102</v>
      </c>
      <c r="D275" s="92">
        <v>4</v>
      </c>
      <c r="E275" s="110">
        <v>750</v>
      </c>
      <c r="F275" s="93">
        <f>D275*E275</f>
        <v>3000</v>
      </c>
      <c r="G275" s="74">
        <f t="shared" si="154"/>
        <v>0</v>
      </c>
      <c r="H275" s="95">
        <f t="shared" si="149"/>
        <v>3000</v>
      </c>
      <c r="I275" s="112">
        <v>3000</v>
      </c>
      <c r="J275" s="57"/>
      <c r="K275" s="57"/>
      <c r="L275" s="57"/>
      <c r="M275" s="57"/>
      <c r="N275" s="57"/>
      <c r="O275" s="57"/>
      <c r="P275" s="68"/>
      <c r="Q275" s="58"/>
      <c r="R275" s="170">
        <v>1582.72</v>
      </c>
      <c r="S275" s="89">
        <f t="shared" si="145"/>
        <v>-1582.72</v>
      </c>
      <c r="T275" s="216">
        <f t="shared" si="146"/>
        <v>0</v>
      </c>
      <c r="U275" s="147"/>
      <c r="V275" s="148"/>
      <c r="W275" s="148"/>
      <c r="X275" s="148"/>
      <c r="Y275" s="148"/>
      <c r="Z275" s="148"/>
      <c r="AA275" s="148"/>
      <c r="AB275" s="149"/>
      <c r="AC275" s="150"/>
      <c r="AD275" s="76"/>
      <c r="AE275" s="76"/>
      <c r="AF275" s="128"/>
    </row>
    <row r="276" spans="1:32" outlineLevel="1" x14ac:dyDescent="0.25">
      <c r="A276" s="4" t="s">
        <v>259</v>
      </c>
      <c r="B276" s="75" t="s">
        <v>500</v>
      </c>
      <c r="C276" s="25" t="s">
        <v>103</v>
      </c>
      <c r="D276" s="92">
        <v>0</v>
      </c>
      <c r="E276" s="110">
        <v>0</v>
      </c>
      <c r="F276" s="93">
        <f>D276*E276</f>
        <v>0</v>
      </c>
      <c r="G276" s="74">
        <f t="shared" si="154"/>
        <v>0</v>
      </c>
      <c r="H276" s="95">
        <f t="shared" si="149"/>
        <v>0</v>
      </c>
      <c r="I276" s="112">
        <v>0</v>
      </c>
      <c r="J276" s="57"/>
      <c r="K276" s="57"/>
      <c r="L276" s="57"/>
      <c r="M276" s="57"/>
      <c r="N276" s="57"/>
      <c r="O276" s="57"/>
      <c r="P276" s="68"/>
      <c r="Q276" s="58"/>
      <c r="R276" s="170">
        <f>P276*Q276</f>
        <v>0</v>
      </c>
      <c r="S276" s="89">
        <f t="shared" si="145"/>
        <v>0</v>
      </c>
      <c r="T276" s="216">
        <f t="shared" si="146"/>
        <v>0</v>
      </c>
      <c r="U276" s="147"/>
      <c r="V276" s="148"/>
      <c r="W276" s="148"/>
      <c r="X276" s="148"/>
      <c r="Y276" s="148"/>
      <c r="Z276" s="148"/>
      <c r="AA276" s="148"/>
      <c r="AB276" s="149"/>
      <c r="AC276" s="150"/>
      <c r="AD276" s="76"/>
      <c r="AE276" s="76"/>
      <c r="AF276" s="128"/>
    </row>
    <row r="277" spans="1:32" outlineLevel="1" x14ac:dyDescent="0.25">
      <c r="A277" s="4" t="s">
        <v>260</v>
      </c>
      <c r="B277" s="75" t="s">
        <v>47</v>
      </c>
      <c r="C277" s="25"/>
      <c r="D277" s="92">
        <v>1</v>
      </c>
      <c r="E277" s="110">
        <v>500</v>
      </c>
      <c r="F277" s="93">
        <f>D277*E277</f>
        <v>500</v>
      </c>
      <c r="G277" s="74">
        <f t="shared" si="154"/>
        <v>0</v>
      </c>
      <c r="H277" s="95">
        <f t="shared" si="149"/>
        <v>500</v>
      </c>
      <c r="I277" s="112">
        <v>500</v>
      </c>
      <c r="J277" s="57"/>
      <c r="K277" s="57"/>
      <c r="L277" s="57"/>
      <c r="M277" s="57"/>
      <c r="N277" s="57"/>
      <c r="O277" s="57"/>
      <c r="P277" s="68"/>
      <c r="Q277" s="58"/>
      <c r="R277" s="170">
        <f>799.92+286.2</f>
        <v>1086.1199999999999</v>
      </c>
      <c r="S277" s="89">
        <f t="shared" si="145"/>
        <v>-1086.1199999999999</v>
      </c>
      <c r="T277" s="216">
        <f t="shared" si="146"/>
        <v>0</v>
      </c>
      <c r="U277" s="147"/>
      <c r="V277" s="148"/>
      <c r="W277" s="148"/>
      <c r="X277" s="148"/>
      <c r="Y277" s="148"/>
      <c r="Z277" s="148"/>
      <c r="AA277" s="148"/>
      <c r="AB277" s="149"/>
      <c r="AC277" s="150"/>
      <c r="AD277" s="76"/>
      <c r="AE277" s="76"/>
      <c r="AF277" s="128"/>
    </row>
    <row r="278" spans="1:32" s="3" customFormat="1" ht="15.75" x14ac:dyDescent="0.25">
      <c r="A278" s="7" t="s">
        <v>590</v>
      </c>
      <c r="B278" s="13" t="s">
        <v>519</v>
      </c>
      <c r="C278" s="23"/>
      <c r="D278" s="24"/>
      <c r="E278" s="17"/>
      <c r="F278" s="82">
        <f>SUM(F279:F280)</f>
        <v>400</v>
      </c>
      <c r="G278" s="89">
        <f t="shared" si="154"/>
        <v>0</v>
      </c>
      <c r="H278" s="18">
        <f t="shared" si="149"/>
        <v>400</v>
      </c>
      <c r="I278" s="54">
        <f t="shared" ref="I278:Q278" si="157">SUM(I279:I280)</f>
        <v>400</v>
      </c>
      <c r="J278" s="55">
        <f t="shared" si="157"/>
        <v>0</v>
      </c>
      <c r="K278" s="55">
        <f t="shared" si="157"/>
        <v>0</v>
      </c>
      <c r="L278" s="55">
        <f t="shared" si="157"/>
        <v>0</v>
      </c>
      <c r="M278" s="55">
        <f t="shared" si="157"/>
        <v>0</v>
      </c>
      <c r="N278" s="55">
        <f t="shared" si="157"/>
        <v>0</v>
      </c>
      <c r="O278" s="55">
        <f t="shared" si="157"/>
        <v>0</v>
      </c>
      <c r="P278" s="55">
        <f t="shared" si="157"/>
        <v>0</v>
      </c>
      <c r="Q278" s="56">
        <f t="shared" si="157"/>
        <v>0</v>
      </c>
      <c r="R278" s="169">
        <f>SUM(R279:R280)</f>
        <v>0</v>
      </c>
      <c r="S278" s="89">
        <f t="shared" si="145"/>
        <v>0</v>
      </c>
      <c r="T278" s="216">
        <f t="shared" si="146"/>
        <v>0</v>
      </c>
      <c r="U278" s="144">
        <f>SUM(U279:U280)</f>
        <v>0</v>
      </c>
      <c r="V278" s="145">
        <f t="shared" ref="V278:AC278" si="158">SUM(V279:V280)</f>
        <v>0</v>
      </c>
      <c r="W278" s="145">
        <f t="shared" si="158"/>
        <v>0</v>
      </c>
      <c r="X278" s="145">
        <f t="shared" si="158"/>
        <v>0</v>
      </c>
      <c r="Y278" s="145">
        <f t="shared" si="158"/>
        <v>0</v>
      </c>
      <c r="Z278" s="145">
        <f t="shared" si="158"/>
        <v>0</v>
      </c>
      <c r="AA278" s="145">
        <f t="shared" si="158"/>
        <v>0</v>
      </c>
      <c r="AB278" s="145">
        <f t="shared" si="158"/>
        <v>0</v>
      </c>
      <c r="AC278" s="146">
        <f t="shared" si="158"/>
        <v>0</v>
      </c>
      <c r="AD278" s="72">
        <v>1000</v>
      </c>
      <c r="AE278" s="33">
        <v>335.4</v>
      </c>
      <c r="AF278" s="127">
        <f>AE278*100/AD278</f>
        <v>33.54</v>
      </c>
    </row>
    <row r="279" spans="1:32" outlineLevel="1" x14ac:dyDescent="0.25">
      <c r="A279" s="4" t="s">
        <v>262</v>
      </c>
      <c r="B279" s="75" t="s">
        <v>520</v>
      </c>
      <c r="C279" s="25" t="s">
        <v>102</v>
      </c>
      <c r="D279" s="92">
        <v>4</v>
      </c>
      <c r="E279" s="110">
        <v>100</v>
      </c>
      <c r="F279" s="93">
        <f>D279*E279</f>
        <v>400</v>
      </c>
      <c r="G279" s="74">
        <f t="shared" si="154"/>
        <v>0</v>
      </c>
      <c r="H279" s="95">
        <f t="shared" si="149"/>
        <v>400</v>
      </c>
      <c r="I279" s="112">
        <v>400</v>
      </c>
      <c r="J279" s="57"/>
      <c r="K279" s="57"/>
      <c r="L279" s="57"/>
      <c r="M279" s="57"/>
      <c r="N279" s="57"/>
      <c r="O279" s="57"/>
      <c r="P279" s="68"/>
      <c r="Q279" s="58"/>
      <c r="R279" s="170">
        <f>P279*Q279</f>
        <v>0</v>
      </c>
      <c r="S279" s="89">
        <f t="shared" si="145"/>
        <v>0</v>
      </c>
      <c r="T279" s="216">
        <f t="shared" si="146"/>
        <v>0</v>
      </c>
      <c r="U279" s="147"/>
      <c r="V279" s="148"/>
      <c r="W279" s="148"/>
      <c r="X279" s="148"/>
      <c r="Y279" s="148"/>
      <c r="Z279" s="148"/>
      <c r="AA279" s="148"/>
      <c r="AB279" s="149"/>
      <c r="AC279" s="150"/>
      <c r="AD279" s="76"/>
      <c r="AE279" s="76"/>
      <c r="AF279" s="128"/>
    </row>
    <row r="280" spans="1:32" outlineLevel="1" x14ac:dyDescent="0.25">
      <c r="A280" s="4" t="s">
        <v>263</v>
      </c>
      <c r="B280" s="75" t="s">
        <v>903</v>
      </c>
      <c r="C280" s="25"/>
      <c r="D280" s="92">
        <v>0</v>
      </c>
      <c r="E280" s="110">
        <v>0</v>
      </c>
      <c r="F280" s="93">
        <f>D280*E280</f>
        <v>0</v>
      </c>
      <c r="G280" s="74">
        <f t="shared" si="154"/>
        <v>0</v>
      </c>
      <c r="H280" s="95">
        <f t="shared" si="149"/>
        <v>0</v>
      </c>
      <c r="I280" s="112">
        <v>0</v>
      </c>
      <c r="J280" s="57"/>
      <c r="K280" s="57"/>
      <c r="L280" s="57"/>
      <c r="M280" s="57"/>
      <c r="N280" s="57"/>
      <c r="O280" s="57"/>
      <c r="P280" s="68"/>
      <c r="Q280" s="58"/>
      <c r="R280" s="170">
        <f>P280*Q280</f>
        <v>0</v>
      </c>
      <c r="S280" s="89">
        <f t="shared" si="145"/>
        <v>0</v>
      </c>
      <c r="T280" s="216">
        <f t="shared" si="146"/>
        <v>0</v>
      </c>
      <c r="U280" s="147">
        <v>0</v>
      </c>
      <c r="V280" s="148"/>
      <c r="W280" s="148"/>
      <c r="X280" s="148"/>
      <c r="Y280" s="148"/>
      <c r="Z280" s="148"/>
      <c r="AA280" s="148"/>
      <c r="AB280" s="149"/>
      <c r="AC280" s="150"/>
      <c r="AD280" s="76"/>
      <c r="AE280" s="76"/>
      <c r="AF280" s="128"/>
    </row>
    <row r="281" spans="1:32" s="3" customFormat="1" ht="15.75" x14ac:dyDescent="0.25">
      <c r="A281" s="7" t="s">
        <v>261</v>
      </c>
      <c r="B281" s="13" t="s">
        <v>501</v>
      </c>
      <c r="C281" s="23"/>
      <c r="D281" s="24"/>
      <c r="E281" s="17"/>
      <c r="F281" s="82">
        <f>SUM(F282:F285)</f>
        <v>13500</v>
      </c>
      <c r="G281" s="89">
        <f t="shared" si="154"/>
        <v>0</v>
      </c>
      <c r="H281" s="18">
        <f t="shared" si="149"/>
        <v>13500</v>
      </c>
      <c r="I281" s="54">
        <f t="shared" ref="I281:Q281" si="159">SUM(I282:I285)</f>
        <v>13500</v>
      </c>
      <c r="J281" s="55">
        <f t="shared" si="159"/>
        <v>0</v>
      </c>
      <c r="K281" s="55">
        <f t="shared" si="159"/>
        <v>0</v>
      </c>
      <c r="L281" s="55">
        <f t="shared" si="159"/>
        <v>0</v>
      </c>
      <c r="M281" s="55">
        <f t="shared" si="159"/>
        <v>0</v>
      </c>
      <c r="N281" s="55">
        <f t="shared" si="159"/>
        <v>0</v>
      </c>
      <c r="O281" s="55">
        <f t="shared" si="159"/>
        <v>0</v>
      </c>
      <c r="P281" s="55">
        <f t="shared" si="159"/>
        <v>0</v>
      </c>
      <c r="Q281" s="56">
        <f t="shared" si="159"/>
        <v>0</v>
      </c>
      <c r="R281" s="169">
        <f>SUM(R282:R285)</f>
        <v>294.08000000000004</v>
      </c>
      <c r="S281" s="89">
        <f t="shared" si="145"/>
        <v>-294.08000000000004</v>
      </c>
      <c r="T281" s="216">
        <f t="shared" si="146"/>
        <v>0</v>
      </c>
      <c r="U281" s="144">
        <f>SUM(U282:U285)</f>
        <v>0</v>
      </c>
      <c r="V281" s="145">
        <f t="shared" ref="V281:AC281" si="160">SUM(V282:V285)</f>
        <v>0</v>
      </c>
      <c r="W281" s="145">
        <f t="shared" si="160"/>
        <v>0</v>
      </c>
      <c r="X281" s="145">
        <f t="shared" si="160"/>
        <v>0</v>
      </c>
      <c r="Y281" s="145">
        <f t="shared" si="160"/>
        <v>0</v>
      </c>
      <c r="Z281" s="145">
        <f t="shared" si="160"/>
        <v>0</v>
      </c>
      <c r="AA281" s="145">
        <f t="shared" si="160"/>
        <v>0</v>
      </c>
      <c r="AB281" s="145">
        <f t="shared" si="160"/>
        <v>0</v>
      </c>
      <c r="AC281" s="146">
        <f t="shared" si="160"/>
        <v>0</v>
      </c>
      <c r="AD281" s="33">
        <f>10000+6000</f>
        <v>16000</v>
      </c>
      <c r="AE281" s="33">
        <f>7273.08+5871.01</f>
        <v>13144.09</v>
      </c>
      <c r="AF281" s="127">
        <f>AE281*100/AD281</f>
        <v>82.150562500000007</v>
      </c>
    </row>
    <row r="282" spans="1:32" outlineLevel="1" x14ac:dyDescent="0.25">
      <c r="A282" s="4" t="s">
        <v>262</v>
      </c>
      <c r="B282" s="75" t="s">
        <v>502</v>
      </c>
      <c r="C282" s="25" t="s">
        <v>104</v>
      </c>
      <c r="D282" s="92">
        <v>20</v>
      </c>
      <c r="E282" s="110">
        <v>100</v>
      </c>
      <c r="F282" s="93">
        <f>D282*E282</f>
        <v>2000</v>
      </c>
      <c r="G282" s="74">
        <f t="shared" si="154"/>
        <v>0</v>
      </c>
      <c r="H282" s="95">
        <f t="shared" si="149"/>
        <v>2000</v>
      </c>
      <c r="I282" s="112">
        <v>2000</v>
      </c>
      <c r="J282" s="57"/>
      <c r="K282" s="57"/>
      <c r="L282" s="57"/>
      <c r="M282" s="57"/>
      <c r="N282" s="57"/>
      <c r="O282" s="57"/>
      <c r="P282" s="68"/>
      <c r="Q282" s="58"/>
      <c r="R282" s="170">
        <v>175.68</v>
      </c>
      <c r="S282" s="89">
        <f t="shared" si="145"/>
        <v>-175.68</v>
      </c>
      <c r="T282" s="216">
        <f t="shared" si="146"/>
        <v>0</v>
      </c>
      <c r="U282" s="147"/>
      <c r="V282" s="148"/>
      <c r="W282" s="148"/>
      <c r="X282" s="148"/>
      <c r="Y282" s="148"/>
      <c r="Z282" s="148"/>
      <c r="AA282" s="148"/>
      <c r="AB282" s="149"/>
      <c r="AC282" s="150"/>
      <c r="AD282" s="76"/>
      <c r="AE282" s="76"/>
      <c r="AF282" s="128"/>
    </row>
    <row r="283" spans="1:32" outlineLevel="1" x14ac:dyDescent="0.25">
      <c r="A283" s="4" t="s">
        <v>263</v>
      </c>
      <c r="B283" s="75" t="s">
        <v>503</v>
      </c>
      <c r="C283" s="25"/>
      <c r="D283" s="92">
        <v>1</v>
      </c>
      <c r="E283" s="110">
        <v>6000</v>
      </c>
      <c r="F283" s="93">
        <f>D283*E283</f>
        <v>6000</v>
      </c>
      <c r="G283" s="74">
        <f t="shared" si="154"/>
        <v>0</v>
      </c>
      <c r="H283" s="95">
        <f t="shared" si="149"/>
        <v>6000</v>
      </c>
      <c r="I283" s="112">
        <v>6000</v>
      </c>
      <c r="J283" s="57"/>
      <c r="K283" s="57"/>
      <c r="L283" s="57"/>
      <c r="M283" s="57"/>
      <c r="N283" s="57"/>
      <c r="O283" s="57"/>
      <c r="P283" s="68"/>
      <c r="Q283" s="58"/>
      <c r="R283" s="170">
        <f>P283*Q283</f>
        <v>0</v>
      </c>
      <c r="S283" s="89">
        <f t="shared" si="145"/>
        <v>0</v>
      </c>
      <c r="T283" s="216">
        <f t="shared" si="146"/>
        <v>0</v>
      </c>
      <c r="U283" s="147"/>
      <c r="V283" s="148"/>
      <c r="W283" s="148"/>
      <c r="X283" s="148"/>
      <c r="Y283" s="148"/>
      <c r="Z283" s="148"/>
      <c r="AA283" s="148"/>
      <c r="AB283" s="149"/>
      <c r="AC283" s="150"/>
      <c r="AD283" s="76"/>
      <c r="AE283" s="76"/>
      <c r="AF283" s="128"/>
    </row>
    <row r="284" spans="1:32" outlineLevel="1" x14ac:dyDescent="0.25">
      <c r="A284" s="4" t="s">
        <v>273</v>
      </c>
      <c r="B284" s="75" t="s">
        <v>504</v>
      </c>
      <c r="C284" s="25"/>
      <c r="D284" s="92">
        <v>1</v>
      </c>
      <c r="E284" s="110">
        <v>5000</v>
      </c>
      <c r="F284" s="93">
        <f>D284*E284</f>
        <v>5000</v>
      </c>
      <c r="G284" s="74">
        <f t="shared" si="154"/>
        <v>0</v>
      </c>
      <c r="H284" s="95">
        <f t="shared" si="149"/>
        <v>5000</v>
      </c>
      <c r="I284" s="112">
        <v>5000</v>
      </c>
      <c r="J284" s="57"/>
      <c r="K284" s="57"/>
      <c r="L284" s="57"/>
      <c r="M284" s="57"/>
      <c r="N284" s="57"/>
      <c r="O284" s="57"/>
      <c r="P284" s="68"/>
      <c r="Q284" s="58"/>
      <c r="R284" s="170">
        <f>P284*Q284</f>
        <v>0</v>
      </c>
      <c r="S284" s="89">
        <f t="shared" si="145"/>
        <v>0</v>
      </c>
      <c r="T284" s="216">
        <f t="shared" si="146"/>
        <v>0</v>
      </c>
      <c r="U284" s="147"/>
      <c r="V284" s="148"/>
      <c r="W284" s="148"/>
      <c r="X284" s="148"/>
      <c r="Y284" s="148"/>
      <c r="Z284" s="148"/>
      <c r="AA284" s="148"/>
      <c r="AB284" s="149"/>
      <c r="AC284" s="150"/>
      <c r="AD284" s="76"/>
      <c r="AE284" s="76"/>
      <c r="AF284" s="128"/>
    </row>
    <row r="285" spans="1:32" outlineLevel="1" x14ac:dyDescent="0.25">
      <c r="A285" s="4" t="s">
        <v>264</v>
      </c>
      <c r="B285" s="75" t="s">
        <v>903</v>
      </c>
      <c r="C285" s="25"/>
      <c r="D285" s="92">
        <v>1</v>
      </c>
      <c r="E285" s="110">
        <v>500</v>
      </c>
      <c r="F285" s="93">
        <f>D285*E285</f>
        <v>500</v>
      </c>
      <c r="G285" s="74">
        <f t="shared" si="154"/>
        <v>0</v>
      </c>
      <c r="H285" s="95">
        <f t="shared" si="149"/>
        <v>500</v>
      </c>
      <c r="I285" s="112">
        <v>500</v>
      </c>
      <c r="J285" s="57"/>
      <c r="K285" s="57"/>
      <c r="L285" s="57"/>
      <c r="M285" s="57"/>
      <c r="N285" s="57"/>
      <c r="O285" s="57"/>
      <c r="P285" s="68"/>
      <c r="Q285" s="58"/>
      <c r="R285" s="170">
        <v>118.4</v>
      </c>
      <c r="S285" s="89">
        <f t="shared" si="145"/>
        <v>-118.4</v>
      </c>
      <c r="T285" s="216">
        <f t="shared" si="146"/>
        <v>0</v>
      </c>
      <c r="U285" s="147"/>
      <c r="V285" s="148"/>
      <c r="W285" s="148"/>
      <c r="X285" s="148"/>
      <c r="Y285" s="148"/>
      <c r="Z285" s="148"/>
      <c r="AA285" s="148"/>
      <c r="AB285" s="149"/>
      <c r="AC285" s="150"/>
      <c r="AD285" s="76"/>
      <c r="AE285" s="76"/>
      <c r="AF285" s="128"/>
    </row>
    <row r="286" spans="1:32" s="3" customFormat="1" ht="15.75" x14ac:dyDescent="0.25">
      <c r="A286" s="7" t="s">
        <v>591</v>
      </c>
      <c r="B286" s="13" t="s">
        <v>515</v>
      </c>
      <c r="C286" s="23"/>
      <c r="D286" s="24"/>
      <c r="E286" s="17"/>
      <c r="F286" s="82">
        <f>SUM(F287:F290)</f>
        <v>6350</v>
      </c>
      <c r="G286" s="89">
        <f t="shared" si="154"/>
        <v>0</v>
      </c>
      <c r="H286" s="18">
        <f t="shared" si="149"/>
        <v>6350</v>
      </c>
      <c r="I286" s="54">
        <f t="shared" ref="I286:Q286" si="161">SUM(I287:I290)</f>
        <v>1850</v>
      </c>
      <c r="J286" s="55">
        <f t="shared" si="161"/>
        <v>4500</v>
      </c>
      <c r="K286" s="55">
        <f t="shared" si="161"/>
        <v>0</v>
      </c>
      <c r="L286" s="55">
        <f t="shared" si="161"/>
        <v>0</v>
      </c>
      <c r="M286" s="55">
        <f t="shared" si="161"/>
        <v>0</v>
      </c>
      <c r="N286" s="55">
        <f t="shared" si="161"/>
        <v>0</v>
      </c>
      <c r="O286" s="55">
        <f t="shared" si="161"/>
        <v>0</v>
      </c>
      <c r="P286" s="55">
        <f t="shared" si="161"/>
        <v>0</v>
      </c>
      <c r="Q286" s="56">
        <f t="shared" si="161"/>
        <v>0</v>
      </c>
      <c r="R286" s="169">
        <f>SUM(R287:R290)</f>
        <v>2323.83</v>
      </c>
      <c r="S286" s="89">
        <f t="shared" si="145"/>
        <v>-2323.83</v>
      </c>
      <c r="T286" s="216">
        <f t="shared" si="146"/>
        <v>0</v>
      </c>
      <c r="U286" s="144">
        <f>SUM(U287:U290)</f>
        <v>0</v>
      </c>
      <c r="V286" s="145">
        <f t="shared" ref="V286:AC286" si="162">SUM(V287:V290)</f>
        <v>0</v>
      </c>
      <c r="W286" s="145">
        <f t="shared" si="162"/>
        <v>0</v>
      </c>
      <c r="X286" s="145">
        <f t="shared" si="162"/>
        <v>0</v>
      </c>
      <c r="Y286" s="145">
        <f t="shared" si="162"/>
        <v>0</v>
      </c>
      <c r="Z286" s="145">
        <f t="shared" si="162"/>
        <v>0</v>
      </c>
      <c r="AA286" s="145">
        <f t="shared" si="162"/>
        <v>0</v>
      </c>
      <c r="AB286" s="145">
        <f t="shared" si="162"/>
        <v>0</v>
      </c>
      <c r="AC286" s="146">
        <f t="shared" si="162"/>
        <v>0</v>
      </c>
      <c r="AD286" s="72">
        <v>16475</v>
      </c>
      <c r="AE286" s="33">
        <f>SUM(AE287:AE290)</f>
        <v>0</v>
      </c>
      <c r="AF286" s="127">
        <f>AE286*100/AD286</f>
        <v>0</v>
      </c>
    </row>
    <row r="287" spans="1:32" outlineLevel="1" x14ac:dyDescent="0.25">
      <c r="A287" s="4" t="s">
        <v>274</v>
      </c>
      <c r="B287" s="75" t="s">
        <v>516</v>
      </c>
      <c r="C287" s="25" t="s">
        <v>102</v>
      </c>
      <c r="D287" s="92">
        <v>4</v>
      </c>
      <c r="E287" s="110">
        <v>150</v>
      </c>
      <c r="F287" s="93">
        <f>D287*E287</f>
        <v>600</v>
      </c>
      <c r="G287" s="74">
        <f t="shared" si="154"/>
        <v>0</v>
      </c>
      <c r="H287" s="95">
        <f t="shared" si="149"/>
        <v>600</v>
      </c>
      <c r="I287" s="112">
        <v>600</v>
      </c>
      <c r="J287" s="57"/>
      <c r="K287" s="57"/>
      <c r="L287" s="57"/>
      <c r="M287" s="57"/>
      <c r="N287" s="57"/>
      <c r="O287" s="57"/>
      <c r="P287" s="68"/>
      <c r="Q287" s="58"/>
      <c r="R287" s="170">
        <v>727.56</v>
      </c>
      <c r="S287" s="89">
        <f t="shared" si="145"/>
        <v>-727.56</v>
      </c>
      <c r="T287" s="216">
        <f t="shared" si="146"/>
        <v>0</v>
      </c>
      <c r="U287" s="147"/>
      <c r="V287" s="148"/>
      <c r="W287" s="148"/>
      <c r="X287" s="148"/>
      <c r="Y287" s="148"/>
      <c r="Z287" s="148"/>
      <c r="AA287" s="148"/>
      <c r="AB287" s="149"/>
      <c r="AC287" s="150"/>
      <c r="AD287" s="76"/>
      <c r="AE287" s="76"/>
      <c r="AF287" s="128"/>
    </row>
    <row r="288" spans="1:32" outlineLevel="1" x14ac:dyDescent="0.25">
      <c r="A288" s="4" t="s">
        <v>275</v>
      </c>
      <c r="B288" s="75" t="s">
        <v>997</v>
      </c>
      <c r="C288" s="25"/>
      <c r="D288" s="92">
        <v>1</v>
      </c>
      <c r="E288" s="110">
        <v>4500</v>
      </c>
      <c r="F288" s="93">
        <f>D288*E288</f>
        <v>4500</v>
      </c>
      <c r="G288" s="74">
        <f>H288-F288</f>
        <v>0</v>
      </c>
      <c r="H288" s="95">
        <f t="shared" si="149"/>
        <v>4500</v>
      </c>
      <c r="I288" s="112"/>
      <c r="J288" s="57">
        <v>4500</v>
      </c>
      <c r="K288" s="57"/>
      <c r="L288" s="57"/>
      <c r="M288" s="57"/>
      <c r="N288" s="57"/>
      <c r="O288" s="57"/>
      <c r="P288" s="68"/>
      <c r="Q288" s="58"/>
      <c r="R288" s="170">
        <v>879.65</v>
      </c>
      <c r="S288" s="89">
        <f t="shared" si="145"/>
        <v>-879.65</v>
      </c>
      <c r="T288" s="216">
        <f t="shared" si="146"/>
        <v>0</v>
      </c>
      <c r="U288" s="147"/>
      <c r="V288" s="148"/>
      <c r="W288" s="148"/>
      <c r="X288" s="148"/>
      <c r="Y288" s="148"/>
      <c r="Z288" s="148"/>
      <c r="AA288" s="148"/>
      <c r="AB288" s="149"/>
      <c r="AC288" s="150"/>
      <c r="AD288" s="76"/>
      <c r="AE288" s="76"/>
      <c r="AF288" s="128"/>
    </row>
    <row r="289" spans="1:32" outlineLevel="1" x14ac:dyDescent="0.25">
      <c r="A289" s="4" t="s">
        <v>276</v>
      </c>
      <c r="B289" s="179" t="s">
        <v>504</v>
      </c>
      <c r="C289" s="25"/>
      <c r="D289" s="92">
        <v>1</v>
      </c>
      <c r="E289" s="110">
        <v>1000</v>
      </c>
      <c r="F289" s="93">
        <f>D289*E289</f>
        <v>1000</v>
      </c>
      <c r="G289" s="74">
        <f>H289-F289</f>
        <v>0</v>
      </c>
      <c r="H289" s="95">
        <f t="shared" si="149"/>
        <v>1000</v>
      </c>
      <c r="I289" s="112">
        <v>1000</v>
      </c>
      <c r="J289" s="57"/>
      <c r="K289" s="57"/>
      <c r="L289" s="57"/>
      <c r="M289" s="57"/>
      <c r="N289" s="57"/>
      <c r="O289" s="57"/>
      <c r="P289" s="68"/>
      <c r="Q289" s="58"/>
      <c r="R289" s="170">
        <v>504</v>
      </c>
      <c r="S289" s="89">
        <f t="shared" si="145"/>
        <v>-504</v>
      </c>
      <c r="T289" s="216">
        <f t="shared" si="146"/>
        <v>0</v>
      </c>
      <c r="U289" s="147"/>
      <c r="V289" s="148"/>
      <c r="W289" s="148"/>
      <c r="X289" s="148"/>
      <c r="Y289" s="148"/>
      <c r="Z289" s="148"/>
      <c r="AA289" s="148"/>
      <c r="AB289" s="149"/>
      <c r="AC289" s="150"/>
      <c r="AD289" s="76"/>
      <c r="AE289" s="76"/>
      <c r="AF289" s="128"/>
    </row>
    <row r="290" spans="1:32" outlineLevel="1" x14ac:dyDescent="0.25">
      <c r="A290" s="4" t="s">
        <v>277</v>
      </c>
      <c r="B290" s="75" t="s">
        <v>903</v>
      </c>
      <c r="C290" s="25"/>
      <c r="D290" s="92">
        <v>1</v>
      </c>
      <c r="E290" s="110">
        <v>250</v>
      </c>
      <c r="F290" s="93">
        <f>D290*E290</f>
        <v>250</v>
      </c>
      <c r="G290" s="74">
        <f t="shared" si="154"/>
        <v>0</v>
      </c>
      <c r="H290" s="95">
        <f t="shared" si="149"/>
        <v>250</v>
      </c>
      <c r="I290" s="112">
        <v>250</v>
      </c>
      <c r="J290" s="57"/>
      <c r="K290" s="57"/>
      <c r="L290" s="57"/>
      <c r="M290" s="57"/>
      <c r="N290" s="57"/>
      <c r="O290" s="57"/>
      <c r="P290" s="68"/>
      <c r="Q290" s="58"/>
      <c r="R290" s="170">
        <v>212.62</v>
      </c>
      <c r="S290" s="89">
        <f t="shared" si="145"/>
        <v>-212.62</v>
      </c>
      <c r="T290" s="216">
        <f t="shared" si="146"/>
        <v>0</v>
      </c>
      <c r="U290" s="147"/>
      <c r="V290" s="148"/>
      <c r="W290" s="148"/>
      <c r="X290" s="148"/>
      <c r="Y290" s="148"/>
      <c r="Z290" s="148"/>
      <c r="AA290" s="148"/>
      <c r="AB290" s="149"/>
      <c r="AC290" s="150"/>
      <c r="AD290" s="76"/>
      <c r="AE290" s="76"/>
      <c r="AF290" s="128"/>
    </row>
    <row r="291" spans="1:32" s="3" customFormat="1" ht="15.75" x14ac:dyDescent="0.25">
      <c r="A291" s="7" t="s">
        <v>592</v>
      </c>
      <c r="B291" s="13" t="s">
        <v>505</v>
      </c>
      <c r="C291" s="23"/>
      <c r="D291" s="24"/>
      <c r="E291" s="17"/>
      <c r="F291" s="82">
        <f>SUM(F292:F293)</f>
        <v>600</v>
      </c>
      <c r="G291" s="89">
        <f t="shared" si="154"/>
        <v>0</v>
      </c>
      <c r="H291" s="18">
        <f t="shared" si="149"/>
        <v>600</v>
      </c>
      <c r="I291" s="54">
        <f t="shared" ref="I291:Q291" si="163">SUM(I292:I293)</f>
        <v>600</v>
      </c>
      <c r="J291" s="55">
        <f t="shared" si="163"/>
        <v>0</v>
      </c>
      <c r="K291" s="55">
        <f t="shared" si="163"/>
        <v>0</v>
      </c>
      <c r="L291" s="55">
        <f t="shared" si="163"/>
        <v>0</v>
      </c>
      <c r="M291" s="55">
        <f t="shared" si="163"/>
        <v>0</v>
      </c>
      <c r="N291" s="55">
        <f t="shared" si="163"/>
        <v>0</v>
      </c>
      <c r="O291" s="55">
        <f t="shared" si="163"/>
        <v>0</v>
      </c>
      <c r="P291" s="55">
        <f t="shared" si="163"/>
        <v>0</v>
      </c>
      <c r="Q291" s="56">
        <f t="shared" si="163"/>
        <v>0</v>
      </c>
      <c r="R291" s="169">
        <f>SUM(R292:R294)</f>
        <v>684.86</v>
      </c>
      <c r="S291" s="89">
        <f t="shared" si="145"/>
        <v>-684.86</v>
      </c>
      <c r="T291" s="216">
        <f t="shared" si="146"/>
        <v>0</v>
      </c>
      <c r="U291" s="144">
        <f>SUM(U292:U293)</f>
        <v>0</v>
      </c>
      <c r="V291" s="145">
        <f t="shared" ref="V291:AC291" si="164">SUM(V292:V293)</f>
        <v>0</v>
      </c>
      <c r="W291" s="145">
        <f t="shared" si="164"/>
        <v>0</v>
      </c>
      <c r="X291" s="145">
        <f t="shared" si="164"/>
        <v>0</v>
      </c>
      <c r="Y291" s="145">
        <f t="shared" si="164"/>
        <v>0</v>
      </c>
      <c r="Z291" s="145">
        <f>SUM(Z292:Z294)</f>
        <v>0</v>
      </c>
      <c r="AA291" s="145">
        <f t="shared" si="164"/>
        <v>0</v>
      </c>
      <c r="AB291" s="145">
        <f t="shared" si="164"/>
        <v>0</v>
      </c>
      <c r="AC291" s="146">
        <f t="shared" si="164"/>
        <v>0</v>
      </c>
      <c r="AD291" s="72">
        <v>1500</v>
      </c>
      <c r="AE291" s="33">
        <v>300</v>
      </c>
      <c r="AF291" s="127">
        <f>AE291*100/AD291</f>
        <v>20</v>
      </c>
    </row>
    <row r="292" spans="1:32" outlineLevel="1" x14ac:dyDescent="0.25">
      <c r="A292" s="4" t="s">
        <v>278</v>
      </c>
      <c r="B292" s="75" t="s">
        <v>506</v>
      </c>
      <c r="C292" s="25" t="s">
        <v>102</v>
      </c>
      <c r="D292" s="92">
        <v>4</v>
      </c>
      <c r="E292" s="110">
        <v>150</v>
      </c>
      <c r="F292" s="93">
        <f>D292*E292</f>
        <v>600</v>
      </c>
      <c r="G292" s="74">
        <f t="shared" si="154"/>
        <v>0</v>
      </c>
      <c r="H292" s="95">
        <f t="shared" si="149"/>
        <v>600</v>
      </c>
      <c r="I292" s="112">
        <v>600</v>
      </c>
      <c r="J292" s="57"/>
      <c r="K292" s="57"/>
      <c r="L292" s="57"/>
      <c r="M292" s="57"/>
      <c r="N292" s="57"/>
      <c r="O292" s="57"/>
      <c r="P292" s="68"/>
      <c r="Q292" s="58"/>
      <c r="R292" s="170">
        <f>P292*Q292</f>
        <v>0</v>
      </c>
      <c r="S292" s="89">
        <f t="shared" si="145"/>
        <v>0</v>
      </c>
      <c r="T292" s="216">
        <f t="shared" si="146"/>
        <v>0</v>
      </c>
      <c r="U292" s="147"/>
      <c r="V292" s="148"/>
      <c r="W292" s="148"/>
      <c r="X292" s="148"/>
      <c r="Y292" s="148"/>
      <c r="Z292" s="148"/>
      <c r="AA292" s="148"/>
      <c r="AB292" s="149"/>
      <c r="AC292" s="150"/>
      <c r="AD292" s="135"/>
      <c r="AE292" s="76"/>
      <c r="AF292" s="128"/>
    </row>
    <row r="293" spans="1:32" outlineLevel="1" x14ac:dyDescent="0.25">
      <c r="A293" s="4" t="s">
        <v>279</v>
      </c>
      <c r="B293" s="75" t="s">
        <v>903</v>
      </c>
      <c r="C293" s="25"/>
      <c r="D293" s="92">
        <v>0</v>
      </c>
      <c r="E293" s="110">
        <v>0</v>
      </c>
      <c r="F293" s="93">
        <f>D293*E293</f>
        <v>0</v>
      </c>
      <c r="G293" s="74">
        <f t="shared" si="154"/>
        <v>0</v>
      </c>
      <c r="H293" s="95">
        <f t="shared" si="149"/>
        <v>0</v>
      </c>
      <c r="I293" s="112">
        <v>0</v>
      </c>
      <c r="J293" s="57"/>
      <c r="K293" s="57"/>
      <c r="L293" s="57"/>
      <c r="M293" s="57"/>
      <c r="N293" s="57"/>
      <c r="O293" s="57"/>
      <c r="P293" s="68"/>
      <c r="Q293" s="58"/>
      <c r="R293" s="170">
        <f>P293*Q293</f>
        <v>0</v>
      </c>
      <c r="S293" s="89">
        <f t="shared" si="145"/>
        <v>0</v>
      </c>
      <c r="T293" s="216">
        <f t="shared" si="146"/>
        <v>0</v>
      </c>
      <c r="U293" s="147">
        <v>0</v>
      </c>
      <c r="V293" s="148"/>
      <c r="W293" s="148"/>
      <c r="X293" s="148"/>
      <c r="Y293" s="148"/>
      <c r="Z293" s="148"/>
      <c r="AA293" s="148"/>
      <c r="AB293" s="149"/>
      <c r="AC293" s="150"/>
      <c r="AD293" s="135"/>
      <c r="AE293" s="76"/>
      <c r="AF293" s="128"/>
    </row>
    <row r="294" spans="1:32" outlineLevel="1" x14ac:dyDescent="0.25">
      <c r="A294" s="4" t="s">
        <v>1003</v>
      </c>
      <c r="B294" s="75" t="s">
        <v>691</v>
      </c>
      <c r="C294" s="25"/>
      <c r="D294" s="92"/>
      <c r="E294" s="110"/>
      <c r="F294" s="93"/>
      <c r="G294" s="74"/>
      <c r="H294" s="95"/>
      <c r="I294" s="112"/>
      <c r="J294" s="57"/>
      <c r="K294" s="57"/>
      <c r="L294" s="57"/>
      <c r="M294" s="57"/>
      <c r="N294" s="57"/>
      <c r="O294" s="57"/>
      <c r="P294" s="68"/>
      <c r="Q294" s="58"/>
      <c r="R294" s="170">
        <v>684.86</v>
      </c>
      <c r="S294" s="89">
        <f t="shared" si="145"/>
        <v>-684.86</v>
      </c>
      <c r="T294" s="216">
        <f t="shared" si="146"/>
        <v>0</v>
      </c>
      <c r="U294" s="147"/>
      <c r="V294" s="148"/>
      <c r="W294" s="148"/>
      <c r="X294" s="148"/>
      <c r="Y294" s="148"/>
      <c r="Z294" s="148"/>
      <c r="AA294" s="148"/>
      <c r="AB294" s="149"/>
      <c r="AC294" s="150"/>
      <c r="AD294" s="209"/>
      <c r="AE294" s="176"/>
      <c r="AF294" s="177"/>
    </row>
    <row r="295" spans="1:32" s="3" customFormat="1" ht="15.75" x14ac:dyDescent="0.25">
      <c r="A295" s="7" t="s">
        <v>593</v>
      </c>
      <c r="B295" s="13" t="s">
        <v>508</v>
      </c>
      <c r="C295" s="23"/>
      <c r="D295" s="24"/>
      <c r="E295" s="17"/>
      <c r="F295" s="82">
        <f>SUM(F296:F297)</f>
        <v>400</v>
      </c>
      <c r="G295" s="89">
        <f t="shared" si="154"/>
        <v>0</v>
      </c>
      <c r="H295" s="18">
        <f t="shared" si="149"/>
        <v>400</v>
      </c>
      <c r="I295" s="54">
        <f t="shared" ref="I295:Q295" si="165">SUM(I296:I297)</f>
        <v>400</v>
      </c>
      <c r="J295" s="55">
        <f t="shared" si="165"/>
        <v>0</v>
      </c>
      <c r="K295" s="55">
        <f t="shared" si="165"/>
        <v>0</v>
      </c>
      <c r="L295" s="55">
        <f t="shared" si="165"/>
        <v>0</v>
      </c>
      <c r="M295" s="55">
        <f t="shared" si="165"/>
        <v>0</v>
      </c>
      <c r="N295" s="55">
        <f t="shared" si="165"/>
        <v>0</v>
      </c>
      <c r="O295" s="55">
        <f t="shared" si="165"/>
        <v>0</v>
      </c>
      <c r="P295" s="55">
        <f t="shared" si="165"/>
        <v>0</v>
      </c>
      <c r="Q295" s="56">
        <f t="shared" si="165"/>
        <v>0</v>
      </c>
      <c r="R295" s="169">
        <f>SUM(R296:R297)</f>
        <v>0</v>
      </c>
      <c r="S295" s="89">
        <f t="shared" si="145"/>
        <v>0</v>
      </c>
      <c r="T295" s="216">
        <f t="shared" si="146"/>
        <v>0</v>
      </c>
      <c r="U295" s="144">
        <f>SUM(U296:U297)</f>
        <v>0</v>
      </c>
      <c r="V295" s="145">
        <f t="shared" ref="V295:AC295" si="166">SUM(V296:V297)</f>
        <v>0</v>
      </c>
      <c r="W295" s="145">
        <f t="shared" si="166"/>
        <v>0</v>
      </c>
      <c r="X295" s="145">
        <f t="shared" si="166"/>
        <v>0</v>
      </c>
      <c r="Y295" s="145">
        <f t="shared" si="166"/>
        <v>0</v>
      </c>
      <c r="Z295" s="145">
        <f t="shared" si="166"/>
        <v>0</v>
      </c>
      <c r="AA295" s="145">
        <f t="shared" si="166"/>
        <v>0</v>
      </c>
      <c r="AB295" s="145">
        <f t="shared" si="166"/>
        <v>0</v>
      </c>
      <c r="AC295" s="146">
        <f t="shared" si="166"/>
        <v>0</v>
      </c>
      <c r="AD295" s="72">
        <v>500</v>
      </c>
      <c r="AE295" s="33">
        <f>SUM(AE296:AE297)</f>
        <v>0</v>
      </c>
      <c r="AF295" s="127">
        <f>AE295*100/AD295</f>
        <v>0</v>
      </c>
    </row>
    <row r="296" spans="1:32" outlineLevel="1" x14ac:dyDescent="0.25">
      <c r="A296" s="4" t="s">
        <v>594</v>
      </c>
      <c r="B296" s="75" t="s">
        <v>507</v>
      </c>
      <c r="C296" s="25" t="s">
        <v>102</v>
      </c>
      <c r="D296" s="92">
        <v>4</v>
      </c>
      <c r="E296" s="110">
        <v>100</v>
      </c>
      <c r="F296" s="93">
        <f>D296*E296</f>
        <v>400</v>
      </c>
      <c r="G296" s="74">
        <f t="shared" si="154"/>
        <v>0</v>
      </c>
      <c r="H296" s="95">
        <f t="shared" si="149"/>
        <v>400</v>
      </c>
      <c r="I296" s="112">
        <v>400</v>
      </c>
      <c r="J296" s="57"/>
      <c r="K296" s="57"/>
      <c r="L296" s="57"/>
      <c r="M296" s="57"/>
      <c r="N296" s="57"/>
      <c r="O296" s="57"/>
      <c r="P296" s="68"/>
      <c r="Q296" s="58"/>
      <c r="R296" s="170">
        <f>P296*Q296</f>
        <v>0</v>
      </c>
      <c r="S296" s="89">
        <f t="shared" si="145"/>
        <v>0</v>
      </c>
      <c r="T296" s="216">
        <f t="shared" si="146"/>
        <v>0</v>
      </c>
      <c r="U296" s="147"/>
      <c r="V296" s="148"/>
      <c r="W296" s="148"/>
      <c r="X296" s="148"/>
      <c r="Y296" s="148"/>
      <c r="Z296" s="148"/>
      <c r="AA296" s="148"/>
      <c r="AB296" s="149"/>
      <c r="AC296" s="150"/>
      <c r="AD296" s="135"/>
      <c r="AE296" s="76"/>
      <c r="AF296" s="128"/>
    </row>
    <row r="297" spans="1:32" outlineLevel="1" x14ac:dyDescent="0.25">
      <c r="A297" s="4" t="s">
        <v>595</v>
      </c>
      <c r="B297" s="75" t="s">
        <v>47</v>
      </c>
      <c r="C297" s="25"/>
      <c r="D297" s="92">
        <v>0</v>
      </c>
      <c r="E297" s="110">
        <v>0</v>
      </c>
      <c r="F297" s="93">
        <f>D297*E297</f>
        <v>0</v>
      </c>
      <c r="G297" s="74">
        <f t="shared" si="154"/>
        <v>0</v>
      </c>
      <c r="H297" s="95">
        <f t="shared" si="149"/>
        <v>0</v>
      </c>
      <c r="I297" s="112">
        <v>0</v>
      </c>
      <c r="J297" s="57"/>
      <c r="K297" s="57"/>
      <c r="L297" s="57"/>
      <c r="M297" s="57"/>
      <c r="N297" s="57"/>
      <c r="O297" s="57"/>
      <c r="P297" s="68"/>
      <c r="Q297" s="58"/>
      <c r="R297" s="170">
        <f>P297*Q297</f>
        <v>0</v>
      </c>
      <c r="S297" s="89">
        <f t="shared" si="145"/>
        <v>0</v>
      </c>
      <c r="T297" s="216">
        <f t="shared" si="146"/>
        <v>0</v>
      </c>
      <c r="U297" s="147">
        <v>0</v>
      </c>
      <c r="V297" s="148"/>
      <c r="W297" s="148"/>
      <c r="X297" s="148"/>
      <c r="Y297" s="148"/>
      <c r="Z297" s="148"/>
      <c r="AA297" s="148"/>
      <c r="AB297" s="149"/>
      <c r="AC297" s="150"/>
      <c r="AD297" s="135"/>
      <c r="AE297" s="76"/>
      <c r="AF297" s="128"/>
    </row>
    <row r="298" spans="1:32" s="3" customFormat="1" ht="15.75" x14ac:dyDescent="0.25">
      <c r="A298" s="7" t="s">
        <v>596</v>
      </c>
      <c r="B298" s="13" t="s">
        <v>517</v>
      </c>
      <c r="C298" s="23"/>
      <c r="D298" s="24"/>
      <c r="E298" s="17"/>
      <c r="F298" s="82">
        <f>SUM(F299:F300)</f>
        <v>600</v>
      </c>
      <c r="G298" s="89">
        <f t="shared" si="154"/>
        <v>0</v>
      </c>
      <c r="H298" s="18">
        <f t="shared" si="149"/>
        <v>600</v>
      </c>
      <c r="I298" s="54">
        <f t="shared" ref="I298:Q298" si="167">SUM(I299:I300)</f>
        <v>600</v>
      </c>
      <c r="J298" s="55">
        <f t="shared" si="167"/>
        <v>0</v>
      </c>
      <c r="K298" s="55">
        <f t="shared" si="167"/>
        <v>0</v>
      </c>
      <c r="L298" s="55">
        <f t="shared" si="167"/>
        <v>0</v>
      </c>
      <c r="M298" s="55">
        <f t="shared" si="167"/>
        <v>0</v>
      </c>
      <c r="N298" s="55">
        <f t="shared" si="167"/>
        <v>0</v>
      </c>
      <c r="O298" s="55">
        <f t="shared" si="167"/>
        <v>0</v>
      </c>
      <c r="P298" s="55">
        <f t="shared" si="167"/>
        <v>0</v>
      </c>
      <c r="Q298" s="56">
        <f t="shared" si="167"/>
        <v>0</v>
      </c>
      <c r="R298" s="169">
        <f>SUM(R299:R300)</f>
        <v>0</v>
      </c>
      <c r="S298" s="89">
        <f t="shared" si="145"/>
        <v>0</v>
      </c>
      <c r="T298" s="216">
        <f t="shared" si="146"/>
        <v>0</v>
      </c>
      <c r="U298" s="144">
        <f>SUM(U299:U300)</f>
        <v>0</v>
      </c>
      <c r="V298" s="145">
        <f t="shared" ref="V298:AC298" si="168">SUM(V299:V300)</f>
        <v>0</v>
      </c>
      <c r="W298" s="145">
        <f t="shared" si="168"/>
        <v>0</v>
      </c>
      <c r="X298" s="145">
        <f t="shared" si="168"/>
        <v>0</v>
      </c>
      <c r="Y298" s="145">
        <f t="shared" si="168"/>
        <v>0</v>
      </c>
      <c r="Z298" s="145">
        <f t="shared" si="168"/>
        <v>0</v>
      </c>
      <c r="AA298" s="145">
        <f t="shared" si="168"/>
        <v>0</v>
      </c>
      <c r="AB298" s="145">
        <f t="shared" si="168"/>
        <v>0</v>
      </c>
      <c r="AC298" s="146">
        <f t="shared" si="168"/>
        <v>0</v>
      </c>
      <c r="AD298" s="72">
        <v>1300</v>
      </c>
      <c r="AE298" s="33">
        <v>471</v>
      </c>
      <c r="AF298" s="127">
        <f>AE298*100/AD298</f>
        <v>36.230769230769234</v>
      </c>
    </row>
    <row r="299" spans="1:32" outlineLevel="1" x14ac:dyDescent="0.25">
      <c r="A299" s="4" t="s">
        <v>594</v>
      </c>
      <c r="B299" s="75" t="s">
        <v>518</v>
      </c>
      <c r="C299" s="25" t="s">
        <v>102</v>
      </c>
      <c r="D299" s="92">
        <v>4</v>
      </c>
      <c r="E299" s="110">
        <v>150</v>
      </c>
      <c r="F299" s="93">
        <f>D299*E299</f>
        <v>600</v>
      </c>
      <c r="G299" s="74">
        <f t="shared" si="154"/>
        <v>0</v>
      </c>
      <c r="H299" s="95">
        <f t="shared" si="149"/>
        <v>600</v>
      </c>
      <c r="I299" s="112">
        <f>4*150</f>
        <v>600</v>
      </c>
      <c r="J299" s="57"/>
      <c r="K299" s="57"/>
      <c r="L299" s="57"/>
      <c r="M299" s="57"/>
      <c r="N299" s="57"/>
      <c r="O299" s="57"/>
      <c r="P299" s="68"/>
      <c r="Q299" s="58"/>
      <c r="R299" s="170">
        <f>P299*Q299</f>
        <v>0</v>
      </c>
      <c r="S299" s="89">
        <f t="shared" si="145"/>
        <v>0</v>
      </c>
      <c r="T299" s="216">
        <f t="shared" si="146"/>
        <v>0</v>
      </c>
      <c r="U299" s="147"/>
      <c r="V299" s="148"/>
      <c r="W299" s="148"/>
      <c r="X299" s="148"/>
      <c r="Y299" s="148"/>
      <c r="Z299" s="148"/>
      <c r="AA299" s="148"/>
      <c r="AB299" s="149"/>
      <c r="AC299" s="150"/>
      <c r="AD299" s="76"/>
      <c r="AE299" s="76"/>
      <c r="AF299" s="128"/>
    </row>
    <row r="300" spans="1:32" outlineLevel="1" x14ac:dyDescent="0.25">
      <c r="A300" s="4" t="s">
        <v>595</v>
      </c>
      <c r="B300" s="75" t="s">
        <v>903</v>
      </c>
      <c r="C300" s="25"/>
      <c r="D300" s="92">
        <v>0</v>
      </c>
      <c r="E300" s="110">
        <v>0</v>
      </c>
      <c r="F300" s="93">
        <f>D300*E300</f>
        <v>0</v>
      </c>
      <c r="G300" s="74">
        <f t="shared" si="154"/>
        <v>0</v>
      </c>
      <c r="H300" s="95">
        <f t="shared" si="149"/>
        <v>0</v>
      </c>
      <c r="I300" s="112">
        <v>0</v>
      </c>
      <c r="J300" s="57"/>
      <c r="K300" s="57"/>
      <c r="L300" s="57"/>
      <c r="M300" s="57"/>
      <c r="N300" s="57"/>
      <c r="O300" s="57"/>
      <c r="P300" s="68"/>
      <c r="Q300" s="58"/>
      <c r="R300" s="170">
        <f>P300*Q300</f>
        <v>0</v>
      </c>
      <c r="S300" s="89">
        <f t="shared" si="145"/>
        <v>0</v>
      </c>
      <c r="T300" s="216">
        <f t="shared" si="146"/>
        <v>0</v>
      </c>
      <c r="U300" s="147">
        <v>0</v>
      </c>
      <c r="V300" s="148"/>
      <c r="W300" s="148"/>
      <c r="X300" s="148"/>
      <c r="Y300" s="148"/>
      <c r="Z300" s="148"/>
      <c r="AA300" s="148"/>
      <c r="AB300" s="149"/>
      <c r="AC300" s="150"/>
      <c r="AD300" s="76"/>
      <c r="AE300" s="76"/>
      <c r="AF300" s="128"/>
    </row>
    <row r="301" spans="1:32" s="3" customFormat="1" ht="15.75" x14ac:dyDescent="0.25">
      <c r="A301" s="7" t="s">
        <v>597</v>
      </c>
      <c r="B301" s="13" t="s">
        <v>73</v>
      </c>
      <c r="C301" s="23"/>
      <c r="D301" s="24"/>
      <c r="E301" s="17"/>
      <c r="F301" s="82">
        <f>SUM(F302:F304)</f>
        <v>500</v>
      </c>
      <c r="G301" s="89">
        <f t="shared" si="154"/>
        <v>0</v>
      </c>
      <c r="H301" s="18">
        <f t="shared" si="149"/>
        <v>500</v>
      </c>
      <c r="I301" s="54">
        <f t="shared" ref="I301:Q301" si="169">SUM(I302:I304)</f>
        <v>500</v>
      </c>
      <c r="J301" s="55">
        <f t="shared" si="169"/>
        <v>0</v>
      </c>
      <c r="K301" s="55">
        <f t="shared" si="169"/>
        <v>0</v>
      </c>
      <c r="L301" s="55">
        <f t="shared" si="169"/>
        <v>0</v>
      </c>
      <c r="M301" s="55">
        <f t="shared" si="169"/>
        <v>0</v>
      </c>
      <c r="N301" s="55">
        <f t="shared" si="169"/>
        <v>0</v>
      </c>
      <c r="O301" s="55">
        <f t="shared" si="169"/>
        <v>0</v>
      </c>
      <c r="P301" s="55">
        <f t="shared" si="169"/>
        <v>0</v>
      </c>
      <c r="Q301" s="56">
        <f t="shared" si="169"/>
        <v>0</v>
      </c>
      <c r="R301" s="169">
        <f>SUM(R302:R304)</f>
        <v>0</v>
      </c>
      <c r="S301" s="89">
        <f t="shared" si="145"/>
        <v>0</v>
      </c>
      <c r="T301" s="216">
        <f t="shared" si="146"/>
        <v>0</v>
      </c>
      <c r="U301" s="144">
        <f>SUM(U302:U304)</f>
        <v>0</v>
      </c>
      <c r="V301" s="145">
        <f t="shared" ref="V301:AC301" si="170">SUM(V302:V304)</f>
        <v>0</v>
      </c>
      <c r="W301" s="145">
        <f t="shared" si="170"/>
        <v>0</v>
      </c>
      <c r="X301" s="145">
        <f t="shared" si="170"/>
        <v>0</v>
      </c>
      <c r="Y301" s="145">
        <f t="shared" si="170"/>
        <v>0</v>
      </c>
      <c r="Z301" s="145">
        <f t="shared" si="170"/>
        <v>0</v>
      </c>
      <c r="AA301" s="145">
        <f t="shared" si="170"/>
        <v>0</v>
      </c>
      <c r="AB301" s="145">
        <f t="shared" si="170"/>
        <v>0</v>
      </c>
      <c r="AC301" s="146">
        <f t="shared" si="170"/>
        <v>0</v>
      </c>
      <c r="AD301" s="33">
        <v>860</v>
      </c>
      <c r="AE301" s="33">
        <v>88.92</v>
      </c>
      <c r="AF301" s="127">
        <f>AE301*100/AD301</f>
        <v>10.33953488372093</v>
      </c>
    </row>
    <row r="302" spans="1:32" outlineLevel="1" x14ac:dyDescent="0.25">
      <c r="A302" s="4" t="s">
        <v>598</v>
      </c>
      <c r="B302" s="75" t="s">
        <v>74</v>
      </c>
      <c r="C302" s="25" t="s">
        <v>101</v>
      </c>
      <c r="D302" s="92">
        <v>2</v>
      </c>
      <c r="E302" s="110">
        <v>100</v>
      </c>
      <c r="F302" s="93">
        <f>D302*E302</f>
        <v>200</v>
      </c>
      <c r="G302" s="74">
        <f t="shared" si="154"/>
        <v>0</v>
      </c>
      <c r="H302" s="95">
        <f t="shared" si="149"/>
        <v>200</v>
      </c>
      <c r="I302" s="112">
        <v>200</v>
      </c>
      <c r="J302" s="57"/>
      <c r="K302" s="57"/>
      <c r="L302" s="57"/>
      <c r="M302" s="57"/>
      <c r="N302" s="57"/>
      <c r="O302" s="57"/>
      <c r="P302" s="68"/>
      <c r="Q302" s="58"/>
      <c r="R302" s="170">
        <f>P302*Q302</f>
        <v>0</v>
      </c>
      <c r="S302" s="89">
        <f t="shared" si="145"/>
        <v>0</v>
      </c>
      <c r="T302" s="216">
        <f t="shared" si="146"/>
        <v>0</v>
      </c>
      <c r="U302" s="147"/>
      <c r="V302" s="148"/>
      <c r="W302" s="148"/>
      <c r="X302" s="148"/>
      <c r="Y302" s="148"/>
      <c r="Z302" s="148"/>
      <c r="AA302" s="148"/>
      <c r="AB302" s="149"/>
      <c r="AC302" s="150"/>
      <c r="AD302" s="76"/>
      <c r="AE302" s="76"/>
      <c r="AF302" s="128"/>
    </row>
    <row r="303" spans="1:32" outlineLevel="1" x14ac:dyDescent="0.25">
      <c r="A303" s="4" t="s">
        <v>599</v>
      </c>
      <c r="B303" s="75" t="s">
        <v>75</v>
      </c>
      <c r="C303" s="25" t="s">
        <v>105</v>
      </c>
      <c r="D303" s="92">
        <v>1</v>
      </c>
      <c r="E303" s="110">
        <v>300</v>
      </c>
      <c r="F303" s="93">
        <f>D303*E303</f>
        <v>300</v>
      </c>
      <c r="G303" s="74">
        <f t="shared" si="154"/>
        <v>0</v>
      </c>
      <c r="H303" s="95">
        <f t="shared" si="149"/>
        <v>300</v>
      </c>
      <c r="I303" s="112">
        <v>300</v>
      </c>
      <c r="J303" s="57"/>
      <c r="K303" s="57"/>
      <c r="L303" s="57"/>
      <c r="M303" s="57"/>
      <c r="N303" s="57"/>
      <c r="O303" s="57"/>
      <c r="P303" s="68"/>
      <c r="Q303" s="58"/>
      <c r="R303" s="170">
        <f>P303*Q303</f>
        <v>0</v>
      </c>
      <c r="S303" s="89">
        <f t="shared" si="145"/>
        <v>0</v>
      </c>
      <c r="T303" s="216">
        <f t="shared" si="146"/>
        <v>0</v>
      </c>
      <c r="U303" s="147"/>
      <c r="V303" s="148"/>
      <c r="W303" s="148"/>
      <c r="X303" s="148"/>
      <c r="Y303" s="148"/>
      <c r="Z303" s="148"/>
      <c r="AA303" s="148"/>
      <c r="AB303" s="149"/>
      <c r="AC303" s="150"/>
      <c r="AD303" s="76"/>
      <c r="AE303" s="76"/>
      <c r="AF303" s="128"/>
    </row>
    <row r="304" spans="1:32" outlineLevel="1" x14ac:dyDescent="0.25">
      <c r="A304" s="4" t="s">
        <v>600</v>
      </c>
      <c r="B304" s="75" t="s">
        <v>47</v>
      </c>
      <c r="C304" s="25"/>
      <c r="D304" s="92">
        <v>0</v>
      </c>
      <c r="E304" s="110">
        <v>0</v>
      </c>
      <c r="F304" s="93">
        <f>D304*E304</f>
        <v>0</v>
      </c>
      <c r="G304" s="74">
        <f t="shared" si="154"/>
        <v>0</v>
      </c>
      <c r="H304" s="95">
        <f t="shared" si="149"/>
        <v>0</v>
      </c>
      <c r="I304" s="112">
        <v>0</v>
      </c>
      <c r="J304" s="57"/>
      <c r="K304" s="57"/>
      <c r="L304" s="57"/>
      <c r="M304" s="57"/>
      <c r="N304" s="57"/>
      <c r="O304" s="57"/>
      <c r="P304" s="68"/>
      <c r="Q304" s="58"/>
      <c r="R304" s="170">
        <f>P304*Q304</f>
        <v>0</v>
      </c>
      <c r="S304" s="89">
        <f t="shared" si="145"/>
        <v>0</v>
      </c>
      <c r="T304" s="216">
        <f t="shared" si="146"/>
        <v>0</v>
      </c>
      <c r="U304" s="147">
        <v>0</v>
      </c>
      <c r="V304" s="148"/>
      <c r="W304" s="148"/>
      <c r="X304" s="148"/>
      <c r="Y304" s="148"/>
      <c r="Z304" s="148"/>
      <c r="AA304" s="148"/>
      <c r="AB304" s="149"/>
      <c r="AC304" s="150"/>
      <c r="AD304" s="76"/>
      <c r="AE304" s="76"/>
      <c r="AF304" s="128"/>
    </row>
    <row r="305" spans="1:32" s="3" customFormat="1" ht="15.75" x14ac:dyDescent="0.25">
      <c r="A305" s="7" t="s">
        <v>601</v>
      </c>
      <c r="B305" s="13" t="s">
        <v>509</v>
      </c>
      <c r="C305" s="23"/>
      <c r="D305" s="24"/>
      <c r="E305" s="17"/>
      <c r="F305" s="82">
        <f>SUM(F306:F309)</f>
        <v>900</v>
      </c>
      <c r="G305" s="89">
        <f t="shared" si="154"/>
        <v>0</v>
      </c>
      <c r="H305" s="18">
        <f t="shared" si="149"/>
        <v>900</v>
      </c>
      <c r="I305" s="54">
        <f t="shared" ref="I305:Q305" si="171">SUM(I306:I309)</f>
        <v>900</v>
      </c>
      <c r="J305" s="55">
        <f t="shared" si="171"/>
        <v>0</v>
      </c>
      <c r="K305" s="55">
        <f t="shared" si="171"/>
        <v>0</v>
      </c>
      <c r="L305" s="55">
        <f t="shared" si="171"/>
        <v>0</v>
      </c>
      <c r="M305" s="55">
        <f t="shared" si="171"/>
        <v>0</v>
      </c>
      <c r="N305" s="55">
        <f t="shared" si="171"/>
        <v>0</v>
      </c>
      <c r="O305" s="55">
        <f t="shared" si="171"/>
        <v>0</v>
      </c>
      <c r="P305" s="55">
        <f t="shared" si="171"/>
        <v>0</v>
      </c>
      <c r="Q305" s="56">
        <f t="shared" si="171"/>
        <v>0</v>
      </c>
      <c r="R305" s="169">
        <f>SUM(R306:R309)</f>
        <v>0</v>
      </c>
      <c r="S305" s="89">
        <f t="shared" si="145"/>
        <v>0</v>
      </c>
      <c r="T305" s="216">
        <f t="shared" si="146"/>
        <v>0</v>
      </c>
      <c r="U305" s="144">
        <f>SUM(U306:U309)</f>
        <v>0</v>
      </c>
      <c r="V305" s="145">
        <f t="shared" ref="V305:AC305" si="172">SUM(V306:V309)</f>
        <v>0</v>
      </c>
      <c r="W305" s="145">
        <f t="shared" si="172"/>
        <v>0</v>
      </c>
      <c r="X305" s="145">
        <f t="shared" si="172"/>
        <v>0</v>
      </c>
      <c r="Y305" s="145">
        <f t="shared" si="172"/>
        <v>0</v>
      </c>
      <c r="Z305" s="145">
        <f t="shared" si="172"/>
        <v>0</v>
      </c>
      <c r="AA305" s="145">
        <f t="shared" si="172"/>
        <v>0</v>
      </c>
      <c r="AB305" s="145">
        <f t="shared" si="172"/>
        <v>0</v>
      </c>
      <c r="AC305" s="146">
        <f t="shared" si="172"/>
        <v>0</v>
      </c>
      <c r="AD305" s="33">
        <v>3870</v>
      </c>
      <c r="AE305" s="33">
        <v>1087.6199999999999</v>
      </c>
      <c r="AF305" s="127">
        <f>AE305*100/AD305</f>
        <v>28.103875968992245</v>
      </c>
    </row>
    <row r="306" spans="1:32" outlineLevel="1" x14ac:dyDescent="0.25">
      <c r="A306" s="4" t="s">
        <v>602</v>
      </c>
      <c r="B306" s="75" t="s">
        <v>510</v>
      </c>
      <c r="C306" s="25" t="s">
        <v>102</v>
      </c>
      <c r="D306" s="92">
        <v>4</v>
      </c>
      <c r="E306" s="110">
        <v>150</v>
      </c>
      <c r="F306" s="93">
        <f t="shared" ref="F306:F323" si="173">D306*E306</f>
        <v>600</v>
      </c>
      <c r="G306" s="74">
        <f t="shared" si="154"/>
        <v>0</v>
      </c>
      <c r="H306" s="95">
        <f t="shared" si="149"/>
        <v>600</v>
      </c>
      <c r="I306" s="112">
        <v>600</v>
      </c>
      <c r="J306" s="57"/>
      <c r="K306" s="57"/>
      <c r="L306" s="57"/>
      <c r="M306" s="57"/>
      <c r="N306" s="57"/>
      <c r="O306" s="57"/>
      <c r="P306" s="68"/>
      <c r="Q306" s="58"/>
      <c r="R306" s="170">
        <f>P306*Q306</f>
        <v>0</v>
      </c>
      <c r="S306" s="89">
        <f t="shared" si="145"/>
        <v>0</v>
      </c>
      <c r="T306" s="216">
        <f t="shared" si="146"/>
        <v>0</v>
      </c>
      <c r="U306" s="147"/>
      <c r="V306" s="148"/>
      <c r="W306" s="148"/>
      <c r="X306" s="148"/>
      <c r="Y306" s="148"/>
      <c r="Z306" s="148"/>
      <c r="AA306" s="148"/>
      <c r="AB306" s="149"/>
      <c r="AC306" s="150"/>
      <c r="AD306" s="76"/>
      <c r="AE306" s="76"/>
      <c r="AF306" s="128"/>
    </row>
    <row r="307" spans="1:32" outlineLevel="1" x14ac:dyDescent="0.25">
      <c r="A307" s="4" t="s">
        <v>603</v>
      </c>
      <c r="B307" s="75" t="s">
        <v>511</v>
      </c>
      <c r="C307" s="25"/>
      <c r="D307" s="92">
        <v>1</v>
      </c>
      <c r="E307" s="110">
        <v>0</v>
      </c>
      <c r="F307" s="93">
        <f t="shared" si="173"/>
        <v>0</v>
      </c>
      <c r="G307" s="74">
        <f t="shared" si="154"/>
        <v>0</v>
      </c>
      <c r="H307" s="95">
        <f t="shared" si="149"/>
        <v>0</v>
      </c>
      <c r="I307" s="112"/>
      <c r="J307" s="57"/>
      <c r="K307" s="57"/>
      <c r="L307" s="57"/>
      <c r="M307" s="57"/>
      <c r="N307" s="57"/>
      <c r="O307" s="57"/>
      <c r="P307" s="68"/>
      <c r="Q307" s="58"/>
      <c r="R307" s="170">
        <f>P307*Q307</f>
        <v>0</v>
      </c>
      <c r="S307" s="89">
        <f t="shared" si="145"/>
        <v>0</v>
      </c>
      <c r="T307" s="216">
        <f t="shared" si="146"/>
        <v>0</v>
      </c>
      <c r="U307" s="147"/>
      <c r="V307" s="148"/>
      <c r="W307" s="148"/>
      <c r="X307" s="148"/>
      <c r="Y307" s="148"/>
      <c r="Z307" s="148"/>
      <c r="AA307" s="148"/>
      <c r="AB307" s="149"/>
      <c r="AC307" s="150"/>
      <c r="AD307" s="76"/>
      <c r="AE307" s="76"/>
      <c r="AF307" s="128"/>
    </row>
    <row r="308" spans="1:32" outlineLevel="1" x14ac:dyDescent="0.25">
      <c r="A308" s="4" t="s">
        <v>604</v>
      </c>
      <c r="B308" s="75" t="s">
        <v>512</v>
      </c>
      <c r="C308" s="25"/>
      <c r="D308" s="92">
        <v>1</v>
      </c>
      <c r="E308" s="110">
        <v>300</v>
      </c>
      <c r="F308" s="93">
        <f t="shared" si="173"/>
        <v>300</v>
      </c>
      <c r="G308" s="74">
        <f t="shared" si="154"/>
        <v>0</v>
      </c>
      <c r="H308" s="95">
        <f t="shared" si="149"/>
        <v>300</v>
      </c>
      <c r="I308" s="112">
        <v>300</v>
      </c>
      <c r="J308" s="57"/>
      <c r="K308" s="57"/>
      <c r="L308" s="57"/>
      <c r="M308" s="57"/>
      <c r="N308" s="57"/>
      <c r="O308" s="57"/>
      <c r="P308" s="68"/>
      <c r="Q308" s="58"/>
      <c r="R308" s="170">
        <f>P308*Q308</f>
        <v>0</v>
      </c>
      <c r="S308" s="89">
        <f t="shared" si="145"/>
        <v>0</v>
      </c>
      <c r="T308" s="216">
        <f t="shared" si="146"/>
        <v>0</v>
      </c>
      <c r="U308" s="147"/>
      <c r="V308" s="148"/>
      <c r="W308" s="148"/>
      <c r="X308" s="148"/>
      <c r="Y308" s="148"/>
      <c r="Z308" s="148"/>
      <c r="AA308" s="148"/>
      <c r="AB308" s="149"/>
      <c r="AC308" s="150"/>
      <c r="AD308" s="76"/>
      <c r="AE308" s="76"/>
      <c r="AF308" s="128"/>
    </row>
    <row r="309" spans="1:32" outlineLevel="1" x14ac:dyDescent="0.25">
      <c r="A309" s="4" t="s">
        <v>605</v>
      </c>
      <c r="B309" s="75" t="s">
        <v>47</v>
      </c>
      <c r="C309" s="25"/>
      <c r="D309" s="92">
        <v>0</v>
      </c>
      <c r="E309" s="110">
        <v>0</v>
      </c>
      <c r="F309" s="93">
        <f t="shared" si="173"/>
        <v>0</v>
      </c>
      <c r="G309" s="74">
        <f t="shared" si="154"/>
        <v>0</v>
      </c>
      <c r="H309" s="95">
        <f t="shared" si="149"/>
        <v>0</v>
      </c>
      <c r="I309" s="112">
        <v>0</v>
      </c>
      <c r="J309" s="57"/>
      <c r="K309" s="57"/>
      <c r="L309" s="57"/>
      <c r="M309" s="57"/>
      <c r="N309" s="57"/>
      <c r="O309" s="57"/>
      <c r="P309" s="68"/>
      <c r="Q309" s="58"/>
      <c r="R309" s="170">
        <f>P309*Q309</f>
        <v>0</v>
      </c>
      <c r="S309" s="89">
        <f t="shared" si="145"/>
        <v>0</v>
      </c>
      <c r="T309" s="216">
        <f t="shared" si="146"/>
        <v>0</v>
      </c>
      <c r="U309" s="147">
        <v>0</v>
      </c>
      <c r="V309" s="148"/>
      <c r="W309" s="148"/>
      <c r="X309" s="148"/>
      <c r="Y309" s="148"/>
      <c r="Z309" s="148"/>
      <c r="AA309" s="148"/>
      <c r="AB309" s="149"/>
      <c r="AC309" s="150"/>
      <c r="AD309" s="76"/>
      <c r="AE309" s="76"/>
      <c r="AF309" s="128"/>
    </row>
    <row r="310" spans="1:32" s="207" customFormat="1" outlineLevel="1" x14ac:dyDescent="0.25">
      <c r="A310" s="193" t="s">
        <v>606</v>
      </c>
      <c r="B310" s="194"/>
      <c r="C310" s="195"/>
      <c r="D310" s="196"/>
      <c r="E310" s="197"/>
      <c r="F310" s="198"/>
      <c r="G310" s="199"/>
      <c r="H310" s="200"/>
      <c r="I310" s="201"/>
      <c r="J310" s="202"/>
      <c r="K310" s="202"/>
      <c r="L310" s="202"/>
      <c r="M310" s="202"/>
      <c r="N310" s="202"/>
      <c r="O310" s="202"/>
      <c r="P310" s="203"/>
      <c r="Q310" s="204"/>
      <c r="R310" s="198">
        <f>+R311</f>
        <v>55.98</v>
      </c>
      <c r="S310" s="89">
        <f t="shared" si="145"/>
        <v>-55.98</v>
      </c>
      <c r="T310" s="216">
        <f t="shared" si="146"/>
        <v>0</v>
      </c>
      <c r="U310" s="201"/>
      <c r="V310" s="202"/>
      <c r="W310" s="202"/>
      <c r="X310" s="202"/>
      <c r="Y310" s="202"/>
      <c r="Z310" s="202"/>
      <c r="AA310" s="202"/>
      <c r="AB310" s="203"/>
      <c r="AC310" s="204"/>
      <c r="AD310" s="205"/>
      <c r="AE310" s="205"/>
      <c r="AF310" s="206"/>
    </row>
    <row r="311" spans="1:32" s="192" customFormat="1" outlineLevel="1" x14ac:dyDescent="0.25">
      <c r="A311" s="208" t="s">
        <v>1004</v>
      </c>
      <c r="B311" s="179" t="s">
        <v>1008</v>
      </c>
      <c r="C311" s="180"/>
      <c r="D311" s="181"/>
      <c r="E311" s="182"/>
      <c r="F311" s="183"/>
      <c r="G311" s="184"/>
      <c r="H311" s="185"/>
      <c r="I311" s="186"/>
      <c r="J311" s="187"/>
      <c r="K311" s="187"/>
      <c r="L311" s="187"/>
      <c r="M311" s="187"/>
      <c r="N311" s="187"/>
      <c r="O311" s="187"/>
      <c r="P311" s="188"/>
      <c r="Q311" s="189"/>
      <c r="R311" s="183">
        <v>55.98</v>
      </c>
      <c r="S311" s="89">
        <f t="shared" si="145"/>
        <v>-55.98</v>
      </c>
      <c r="T311" s="216">
        <f t="shared" si="146"/>
        <v>0</v>
      </c>
      <c r="U311" s="186"/>
      <c r="V311" s="187"/>
      <c r="W311" s="187"/>
      <c r="X311" s="187"/>
      <c r="Y311" s="187"/>
      <c r="Z311" s="187"/>
      <c r="AA311" s="187"/>
      <c r="AB311" s="188"/>
      <c r="AC311" s="189"/>
      <c r="AD311" s="190"/>
      <c r="AE311" s="190"/>
      <c r="AF311" s="191"/>
    </row>
    <row r="312" spans="1:32" s="3" customFormat="1" ht="15.75" x14ac:dyDescent="0.25">
      <c r="A312" s="7" t="s">
        <v>607</v>
      </c>
      <c r="B312" s="13" t="s">
        <v>166</v>
      </c>
      <c r="C312" s="23"/>
      <c r="D312" s="24">
        <v>1</v>
      </c>
      <c r="E312" s="17">
        <v>1223.1500000000001</v>
      </c>
      <c r="F312" s="82">
        <f t="shared" si="173"/>
        <v>1223.1500000000001</v>
      </c>
      <c r="G312" s="89">
        <f t="shared" si="154"/>
        <v>0</v>
      </c>
      <c r="H312" s="18">
        <f t="shared" si="149"/>
        <v>1223.1500000000001</v>
      </c>
      <c r="I312" s="54">
        <v>969.899</v>
      </c>
      <c r="J312" s="55"/>
      <c r="K312" s="55">
        <v>253.251</v>
      </c>
      <c r="L312" s="55"/>
      <c r="M312" s="55"/>
      <c r="N312" s="55"/>
      <c r="O312" s="55"/>
      <c r="P312" s="55"/>
      <c r="Q312" s="56"/>
      <c r="R312" s="169">
        <v>463.95</v>
      </c>
      <c r="S312" s="89">
        <f t="shared" si="145"/>
        <v>2544.0500000000002</v>
      </c>
      <c r="T312" s="216">
        <f t="shared" si="146"/>
        <v>3008</v>
      </c>
      <c r="U312" s="144"/>
      <c r="V312" s="145"/>
      <c r="W312" s="145"/>
      <c r="X312" s="145"/>
      <c r="Y312" s="145"/>
      <c r="Z312" s="145"/>
      <c r="AA312" s="145"/>
      <c r="AB312" s="145"/>
      <c r="AC312" s="146">
        <v>3008</v>
      </c>
      <c r="AD312" s="33">
        <v>1232</v>
      </c>
      <c r="AE312" s="33">
        <v>1152.8699999999999</v>
      </c>
      <c r="AF312" s="127">
        <f t="shared" ref="AF312:AF325" si="174">AE312*100/AD312</f>
        <v>93.577110389610382</v>
      </c>
    </row>
    <row r="313" spans="1:32" s="3" customFormat="1" ht="15.75" x14ac:dyDescent="0.25">
      <c r="A313" s="7" t="s">
        <v>608</v>
      </c>
      <c r="B313" s="13" t="s">
        <v>165</v>
      </c>
      <c r="C313" s="23"/>
      <c r="D313" s="24">
        <v>1</v>
      </c>
      <c r="E313" s="17">
        <v>2453.2600000000002</v>
      </c>
      <c r="F313" s="82">
        <f t="shared" si="173"/>
        <v>2453.2600000000002</v>
      </c>
      <c r="G313" s="89">
        <f t="shared" si="154"/>
        <v>3.9999999999054126E-3</v>
      </c>
      <c r="H313" s="18">
        <f t="shared" si="149"/>
        <v>2453.2640000000001</v>
      </c>
      <c r="I313" s="54">
        <v>1945.32</v>
      </c>
      <c r="J313" s="55"/>
      <c r="K313" s="55">
        <v>507.94400000000002</v>
      </c>
      <c r="L313" s="55"/>
      <c r="M313" s="55"/>
      <c r="N313" s="55"/>
      <c r="O313" s="55"/>
      <c r="P313" s="55"/>
      <c r="Q313" s="56"/>
      <c r="R313" s="169">
        <v>895.47</v>
      </c>
      <c r="S313" s="89">
        <f t="shared" si="145"/>
        <v>-29.180000000000064</v>
      </c>
      <c r="T313" s="216">
        <f t="shared" si="146"/>
        <v>866.29</v>
      </c>
      <c r="U313" s="144"/>
      <c r="V313" s="145"/>
      <c r="W313" s="145"/>
      <c r="X313" s="145"/>
      <c r="Y313" s="145"/>
      <c r="Z313" s="145"/>
      <c r="AA313" s="145"/>
      <c r="AB313" s="145"/>
      <c r="AC313" s="146">
        <v>866.29</v>
      </c>
      <c r="AD313" s="33">
        <v>2491</v>
      </c>
      <c r="AE313" s="33">
        <v>5557.26</v>
      </c>
      <c r="AF313" s="127">
        <f t="shared" si="174"/>
        <v>223.09353673223606</v>
      </c>
    </row>
    <row r="314" spans="1:32" s="3" customFormat="1" ht="15.75" x14ac:dyDescent="0.25">
      <c r="A314" s="7" t="s">
        <v>609</v>
      </c>
      <c r="B314" s="13" t="s">
        <v>177</v>
      </c>
      <c r="C314" s="23"/>
      <c r="D314" s="24">
        <v>1</v>
      </c>
      <c r="E314" s="17">
        <v>1536.42</v>
      </c>
      <c r="F314" s="82">
        <f t="shared" si="173"/>
        <v>1536.42</v>
      </c>
      <c r="G314" s="89">
        <f t="shared" si="154"/>
        <v>2.9999999999290594E-3</v>
      </c>
      <c r="H314" s="18">
        <f t="shared" si="149"/>
        <v>1536.423</v>
      </c>
      <c r="I314" s="54">
        <v>1218.31</v>
      </c>
      <c r="J314" s="55"/>
      <c r="K314" s="55">
        <v>318.113</v>
      </c>
      <c r="L314" s="55"/>
      <c r="M314" s="55"/>
      <c r="N314" s="55"/>
      <c r="O314" s="55"/>
      <c r="P314" s="55"/>
      <c r="Q314" s="56"/>
      <c r="R314" s="169">
        <v>237</v>
      </c>
      <c r="S314" s="89">
        <f t="shared" si="145"/>
        <v>-20.610000000000014</v>
      </c>
      <c r="T314" s="216">
        <f t="shared" si="146"/>
        <v>216.39</v>
      </c>
      <c r="U314" s="144"/>
      <c r="V314" s="145"/>
      <c r="W314" s="145"/>
      <c r="X314" s="145"/>
      <c r="Y314" s="145"/>
      <c r="Z314" s="145"/>
      <c r="AA314" s="145"/>
      <c r="AB314" s="145"/>
      <c r="AC314" s="146">
        <v>216.39</v>
      </c>
      <c r="AD314" s="33">
        <v>1549</v>
      </c>
      <c r="AE314" s="33">
        <v>1409.48</v>
      </c>
      <c r="AF314" s="127">
        <f t="shared" si="174"/>
        <v>90.99289864428664</v>
      </c>
    </row>
    <row r="315" spans="1:32" s="3" customFormat="1" ht="15.75" x14ac:dyDescent="0.25">
      <c r="A315" s="7" t="s">
        <v>610</v>
      </c>
      <c r="B315" s="13" t="s">
        <v>179</v>
      </c>
      <c r="C315" s="23"/>
      <c r="D315" s="24">
        <v>1</v>
      </c>
      <c r="E315" s="17">
        <v>2742.25</v>
      </c>
      <c r="F315" s="82">
        <f t="shared" si="173"/>
        <v>2742.25</v>
      </c>
      <c r="G315" s="89">
        <f t="shared" si="154"/>
        <v>-1.0000000000218279E-2</v>
      </c>
      <c r="H315" s="18">
        <f t="shared" si="149"/>
        <v>2742.24</v>
      </c>
      <c r="I315" s="54">
        <v>2174.4699999999998</v>
      </c>
      <c r="J315" s="55"/>
      <c r="K315" s="55">
        <v>567.77</v>
      </c>
      <c r="L315" s="55"/>
      <c r="M315" s="55"/>
      <c r="N315" s="55"/>
      <c r="O315" s="55"/>
      <c r="P315" s="55"/>
      <c r="Q315" s="56"/>
      <c r="R315" s="169">
        <v>1020.44</v>
      </c>
      <c r="S315" s="89">
        <f t="shared" si="145"/>
        <v>-1051.94</v>
      </c>
      <c r="T315" s="216">
        <f t="shared" si="146"/>
        <v>-31.5</v>
      </c>
      <c r="U315" s="144"/>
      <c r="V315" s="145"/>
      <c r="W315" s="145"/>
      <c r="X315" s="145"/>
      <c r="Y315" s="145"/>
      <c r="Z315" s="145"/>
      <c r="AA315" s="145"/>
      <c r="AB315" s="145"/>
      <c r="AC315" s="146">
        <v>-31.5</v>
      </c>
      <c r="AD315" s="33">
        <v>2779</v>
      </c>
      <c r="AE315" s="33">
        <v>3646.21</v>
      </c>
      <c r="AF315" s="127">
        <f t="shared" si="174"/>
        <v>131.20582943504857</v>
      </c>
    </row>
    <row r="316" spans="1:32" s="3" customFormat="1" ht="15.75" x14ac:dyDescent="0.25">
      <c r="A316" s="7" t="s">
        <v>611</v>
      </c>
      <c r="B316" s="13" t="s">
        <v>183</v>
      </c>
      <c r="C316" s="23"/>
      <c r="D316" s="24">
        <v>1</v>
      </c>
      <c r="E316" s="17">
        <v>1304.9100000000001</v>
      </c>
      <c r="F316" s="82">
        <f t="shared" si="173"/>
        <v>1304.9100000000001</v>
      </c>
      <c r="G316" s="89">
        <f t="shared" si="154"/>
        <v>0</v>
      </c>
      <c r="H316" s="18">
        <f t="shared" si="149"/>
        <v>1304.9100000000001</v>
      </c>
      <c r="I316" s="54">
        <v>1034.73</v>
      </c>
      <c r="J316" s="55"/>
      <c r="K316" s="55">
        <v>270.18</v>
      </c>
      <c r="L316" s="55"/>
      <c r="M316" s="55"/>
      <c r="N316" s="55"/>
      <c r="O316" s="55"/>
      <c r="P316" s="55"/>
      <c r="Q316" s="56"/>
      <c r="R316" s="169">
        <v>382</v>
      </c>
      <c r="S316" s="89">
        <f t="shared" si="145"/>
        <v>1279.1300000000001</v>
      </c>
      <c r="T316" s="216">
        <f t="shared" si="146"/>
        <v>1661.13</v>
      </c>
      <c r="U316" s="144"/>
      <c r="V316" s="145"/>
      <c r="W316" s="145"/>
      <c r="X316" s="145"/>
      <c r="Y316" s="145"/>
      <c r="Z316" s="145"/>
      <c r="AA316" s="145"/>
      <c r="AB316" s="145"/>
      <c r="AC316" s="146">
        <v>1661.13</v>
      </c>
      <c r="AD316" s="33">
        <v>1318</v>
      </c>
      <c r="AE316" s="33">
        <v>602.12</v>
      </c>
      <c r="AF316" s="127">
        <f t="shared" si="174"/>
        <v>45.684370257966613</v>
      </c>
    </row>
    <row r="317" spans="1:32" s="3" customFormat="1" ht="15.75" x14ac:dyDescent="0.25">
      <c r="A317" s="7" t="s">
        <v>612</v>
      </c>
      <c r="B317" s="13" t="s">
        <v>188</v>
      </c>
      <c r="C317" s="23"/>
      <c r="D317" s="24">
        <v>1</v>
      </c>
      <c r="E317" s="17">
        <v>1396.59</v>
      </c>
      <c r="F317" s="82">
        <f t="shared" si="173"/>
        <v>1396.59</v>
      </c>
      <c r="G317" s="89">
        <f t="shared" si="154"/>
        <v>2.00000000018008E-3</v>
      </c>
      <c r="H317" s="18">
        <f t="shared" si="149"/>
        <v>1396.5920000000001</v>
      </c>
      <c r="I317" s="54">
        <v>1107.43</v>
      </c>
      <c r="J317" s="55"/>
      <c r="K317" s="55">
        <v>289.16199999999998</v>
      </c>
      <c r="L317" s="55"/>
      <c r="M317" s="55"/>
      <c r="N317" s="55"/>
      <c r="O317" s="55"/>
      <c r="P317" s="55"/>
      <c r="Q317" s="56"/>
      <c r="R317" s="169">
        <v>100.64</v>
      </c>
      <c r="S317" s="89">
        <f t="shared" si="145"/>
        <v>941.7600000000001</v>
      </c>
      <c r="T317" s="216">
        <f t="shared" si="146"/>
        <v>1042.4000000000001</v>
      </c>
      <c r="U317" s="144"/>
      <c r="V317" s="145"/>
      <c r="W317" s="145"/>
      <c r="X317" s="145"/>
      <c r="Y317" s="145"/>
      <c r="Z317" s="145"/>
      <c r="AA317" s="145"/>
      <c r="AB317" s="145"/>
      <c r="AC317" s="146">
        <v>1042.4000000000001</v>
      </c>
      <c r="AD317" s="33">
        <v>1406</v>
      </c>
      <c r="AE317" s="33">
        <v>1484.59</v>
      </c>
      <c r="AF317" s="127">
        <f t="shared" si="174"/>
        <v>105.5896159317212</v>
      </c>
    </row>
    <row r="318" spans="1:32" s="3" customFormat="1" ht="15.75" x14ac:dyDescent="0.25">
      <c r="A318" s="7" t="s">
        <v>613</v>
      </c>
      <c r="B318" s="13" t="s">
        <v>195</v>
      </c>
      <c r="C318" s="23"/>
      <c r="D318" s="24">
        <v>1</v>
      </c>
      <c r="E318" s="17">
        <v>2338.5300000000002</v>
      </c>
      <c r="F318" s="82">
        <f t="shared" si="173"/>
        <v>2338.5300000000002</v>
      </c>
      <c r="G318" s="89">
        <f t="shared" si="154"/>
        <v>-1.0000000002037268E-3</v>
      </c>
      <c r="H318" s="18">
        <f t="shared" si="149"/>
        <v>2338.529</v>
      </c>
      <c r="I318" s="54">
        <v>1854.34</v>
      </c>
      <c r="J318" s="55"/>
      <c r="K318" s="55">
        <v>484.18900000000002</v>
      </c>
      <c r="L318" s="55"/>
      <c r="M318" s="55"/>
      <c r="N318" s="55"/>
      <c r="O318" s="55"/>
      <c r="P318" s="55"/>
      <c r="Q318" s="56"/>
      <c r="R318" s="169">
        <v>564.86</v>
      </c>
      <c r="S318" s="89">
        <f t="shared" si="145"/>
        <v>813.25999999999988</v>
      </c>
      <c r="T318" s="216">
        <f t="shared" si="146"/>
        <v>1378.12</v>
      </c>
      <c r="U318" s="144"/>
      <c r="V318" s="145"/>
      <c r="W318" s="145"/>
      <c r="X318" s="145"/>
      <c r="Y318" s="145"/>
      <c r="Z318" s="145"/>
      <c r="AA318" s="145"/>
      <c r="AB318" s="145"/>
      <c r="AC318" s="146">
        <v>1378.12</v>
      </c>
      <c r="AD318" s="33">
        <v>2366</v>
      </c>
      <c r="AE318" s="33">
        <f>1218.59+633.94+246.51+282+100+200</f>
        <v>2681.04</v>
      </c>
      <c r="AF318" s="127">
        <f t="shared" si="174"/>
        <v>113.31530008453085</v>
      </c>
    </row>
    <row r="319" spans="1:32" s="3" customFormat="1" ht="15.75" x14ac:dyDescent="0.25">
      <c r="A319" s="7" t="s">
        <v>614</v>
      </c>
      <c r="B319" s="13" t="s">
        <v>202</v>
      </c>
      <c r="C319" s="23"/>
      <c r="D319" s="24">
        <v>1</v>
      </c>
      <c r="E319" s="17">
        <v>1095.1400000000001</v>
      </c>
      <c r="F319" s="82">
        <f t="shared" si="173"/>
        <v>1095.1400000000001</v>
      </c>
      <c r="G319" s="89">
        <f t="shared" si="154"/>
        <v>0</v>
      </c>
      <c r="H319" s="18">
        <f t="shared" si="149"/>
        <v>1095.1400000000001</v>
      </c>
      <c r="I319" s="54">
        <v>868.39300000000003</v>
      </c>
      <c r="J319" s="55"/>
      <c r="K319" s="55">
        <v>226.74700000000001</v>
      </c>
      <c r="L319" s="55"/>
      <c r="M319" s="55"/>
      <c r="N319" s="55"/>
      <c r="O319" s="55"/>
      <c r="P319" s="55"/>
      <c r="Q319" s="56"/>
      <c r="R319" s="169">
        <v>543.09</v>
      </c>
      <c r="S319" s="89">
        <f t="shared" si="145"/>
        <v>1006.7299999999999</v>
      </c>
      <c r="T319" s="216">
        <f t="shared" si="146"/>
        <v>1549.82</v>
      </c>
      <c r="U319" s="144"/>
      <c r="V319" s="145"/>
      <c r="W319" s="145"/>
      <c r="X319" s="145"/>
      <c r="Y319" s="145"/>
      <c r="Z319" s="145"/>
      <c r="AA319" s="145"/>
      <c r="AB319" s="145"/>
      <c r="AC319" s="146">
        <v>1549.82</v>
      </c>
      <c r="AD319" s="33">
        <v>1102</v>
      </c>
      <c r="AE319" s="33">
        <v>1759.73</v>
      </c>
      <c r="AF319" s="127">
        <f t="shared" si="174"/>
        <v>159.68511796733213</v>
      </c>
    </row>
    <row r="320" spans="1:32" s="3" customFormat="1" ht="15.75" x14ac:dyDescent="0.25">
      <c r="A320" s="7" t="s">
        <v>615</v>
      </c>
      <c r="B320" s="13" t="s">
        <v>204</v>
      </c>
      <c r="C320" s="23"/>
      <c r="D320" s="24">
        <v>1</v>
      </c>
      <c r="E320" s="17">
        <v>1505.81</v>
      </c>
      <c r="F320" s="82">
        <f t="shared" si="173"/>
        <v>1505.81</v>
      </c>
      <c r="G320" s="89">
        <f t="shared" si="154"/>
        <v>-3.9999999999054126E-3</v>
      </c>
      <c r="H320" s="18">
        <f t="shared" si="149"/>
        <v>1505.806</v>
      </c>
      <c r="I320" s="54">
        <v>1194.03</v>
      </c>
      <c r="J320" s="55"/>
      <c r="K320" s="55">
        <v>311.77600000000001</v>
      </c>
      <c r="L320" s="55"/>
      <c r="M320" s="55"/>
      <c r="N320" s="55"/>
      <c r="O320" s="55"/>
      <c r="P320" s="55"/>
      <c r="Q320" s="56"/>
      <c r="R320" s="169">
        <v>150</v>
      </c>
      <c r="S320" s="89">
        <f t="shared" si="145"/>
        <v>-136.85</v>
      </c>
      <c r="T320" s="216">
        <f t="shared" si="146"/>
        <v>13.15</v>
      </c>
      <c r="U320" s="144"/>
      <c r="V320" s="145"/>
      <c r="W320" s="145"/>
      <c r="X320" s="145"/>
      <c r="Y320" s="145"/>
      <c r="Z320" s="145"/>
      <c r="AA320" s="145"/>
      <c r="AB320" s="145"/>
      <c r="AC320" s="146">
        <v>13.15</v>
      </c>
      <c r="AD320" s="33">
        <v>1521</v>
      </c>
      <c r="AE320" s="33">
        <v>2395.9899999999998</v>
      </c>
      <c r="AF320" s="127">
        <f t="shared" si="174"/>
        <v>157.52728468113082</v>
      </c>
    </row>
    <row r="321" spans="1:32" s="3" customFormat="1" ht="15.75" x14ac:dyDescent="0.25">
      <c r="A321" s="7" t="s">
        <v>616</v>
      </c>
      <c r="B321" s="13" t="s">
        <v>206</v>
      </c>
      <c r="C321" s="23"/>
      <c r="D321" s="24">
        <v>1</v>
      </c>
      <c r="E321" s="17">
        <v>1351.42</v>
      </c>
      <c r="F321" s="82">
        <f t="shared" si="173"/>
        <v>1351.42</v>
      </c>
      <c r="G321" s="89">
        <f t="shared" si="154"/>
        <v>-1.0000000002037268E-3</v>
      </c>
      <c r="H321" s="18">
        <f t="shared" si="149"/>
        <v>1351.4189999999999</v>
      </c>
      <c r="I321" s="54">
        <v>1071.6099999999999</v>
      </c>
      <c r="J321" s="55"/>
      <c r="K321" s="55">
        <v>279.80900000000003</v>
      </c>
      <c r="L321" s="55"/>
      <c r="M321" s="55"/>
      <c r="N321" s="55"/>
      <c r="O321" s="55"/>
      <c r="P321" s="55"/>
      <c r="Q321" s="56"/>
      <c r="R321" s="169"/>
      <c r="S321" s="89">
        <f t="shared" si="145"/>
        <v>798.61</v>
      </c>
      <c r="T321" s="216">
        <f t="shared" si="146"/>
        <v>798.61</v>
      </c>
      <c r="U321" s="144"/>
      <c r="V321" s="145"/>
      <c r="W321" s="145"/>
      <c r="X321" s="145"/>
      <c r="Y321" s="145"/>
      <c r="Z321" s="145"/>
      <c r="AA321" s="145"/>
      <c r="AB321" s="145"/>
      <c r="AC321" s="146">
        <v>798.61</v>
      </c>
      <c r="AD321" s="33">
        <v>1362</v>
      </c>
      <c r="AE321" s="33">
        <v>1274.0999999999999</v>
      </c>
      <c r="AF321" s="127">
        <f t="shared" si="174"/>
        <v>93.54625550660792</v>
      </c>
    </row>
    <row r="322" spans="1:32" s="3" customFormat="1" ht="15.75" x14ac:dyDescent="0.25">
      <c r="A322" s="7" t="s">
        <v>617</v>
      </c>
      <c r="B322" s="13" t="s">
        <v>207</v>
      </c>
      <c r="C322" s="23"/>
      <c r="D322" s="24">
        <v>1</v>
      </c>
      <c r="E322" s="17">
        <v>3092.24</v>
      </c>
      <c r="F322" s="82">
        <f t="shared" si="173"/>
        <v>3092.24</v>
      </c>
      <c r="G322" s="89">
        <f t="shared" si="154"/>
        <v>4.0000000003601599E-3</v>
      </c>
      <c r="H322" s="18">
        <f t="shared" si="149"/>
        <v>3092.2440000000001</v>
      </c>
      <c r="I322" s="54">
        <v>2452</v>
      </c>
      <c r="J322" s="55"/>
      <c r="K322" s="55">
        <v>640.24400000000003</v>
      </c>
      <c r="L322" s="55"/>
      <c r="M322" s="55"/>
      <c r="N322" s="55"/>
      <c r="O322" s="55"/>
      <c r="P322" s="55"/>
      <c r="Q322" s="56"/>
      <c r="R322" s="169">
        <v>528.41999999999996</v>
      </c>
      <c r="S322" s="89">
        <f t="shared" si="145"/>
        <v>-784.68</v>
      </c>
      <c r="T322" s="216">
        <f t="shared" si="146"/>
        <v>-256.26</v>
      </c>
      <c r="U322" s="144"/>
      <c r="V322" s="145"/>
      <c r="W322" s="145"/>
      <c r="X322" s="145"/>
      <c r="Y322" s="145"/>
      <c r="Z322" s="145"/>
      <c r="AA322" s="145"/>
      <c r="AB322" s="145"/>
      <c r="AC322" s="146">
        <v>-256.26</v>
      </c>
      <c r="AD322" s="33">
        <v>3133</v>
      </c>
      <c r="AE322" s="33">
        <v>5666.04</v>
      </c>
      <c r="AF322" s="127">
        <f t="shared" si="174"/>
        <v>180.8503032237472</v>
      </c>
    </row>
    <row r="323" spans="1:32" s="3" customFormat="1" ht="15.75" x14ac:dyDescent="0.25">
      <c r="A323" s="7" t="s">
        <v>1005</v>
      </c>
      <c r="B323" s="13" t="s">
        <v>208</v>
      </c>
      <c r="C323" s="23"/>
      <c r="D323" s="24">
        <v>1</v>
      </c>
      <c r="E323" s="17">
        <v>1525.28</v>
      </c>
      <c r="F323" s="82">
        <f t="shared" si="173"/>
        <v>1525.28</v>
      </c>
      <c r="G323" s="89">
        <f t="shared" si="154"/>
        <v>-2.9999999999290594E-3</v>
      </c>
      <c r="H323" s="18">
        <f t="shared" si="149"/>
        <v>1525.277</v>
      </c>
      <c r="I323" s="54">
        <v>1209.47</v>
      </c>
      <c r="J323" s="55"/>
      <c r="K323" s="55">
        <v>315.80700000000002</v>
      </c>
      <c r="L323" s="55"/>
      <c r="M323" s="55"/>
      <c r="N323" s="55"/>
      <c r="O323" s="55"/>
      <c r="P323" s="55"/>
      <c r="Q323" s="56"/>
      <c r="R323" s="169">
        <v>539.11</v>
      </c>
      <c r="S323" s="89">
        <f t="shared" si="145"/>
        <v>-709.06</v>
      </c>
      <c r="T323" s="216">
        <f t="shared" si="146"/>
        <v>-169.95</v>
      </c>
      <c r="U323" s="144"/>
      <c r="V323" s="145"/>
      <c r="W323" s="145"/>
      <c r="X323" s="145"/>
      <c r="Y323" s="145"/>
      <c r="Z323" s="145"/>
      <c r="AA323" s="145"/>
      <c r="AB323" s="145"/>
      <c r="AC323" s="146">
        <v>-169.95</v>
      </c>
      <c r="AD323" s="33">
        <v>1540</v>
      </c>
      <c r="AE323" s="33">
        <v>1770.66</v>
      </c>
      <c r="AF323" s="127">
        <f t="shared" si="174"/>
        <v>114.97792207792207</v>
      </c>
    </row>
    <row r="324" spans="1:32" s="2" customFormat="1" ht="21" x14ac:dyDescent="0.35">
      <c r="A324" s="8" t="s">
        <v>280</v>
      </c>
      <c r="B324" s="12" t="s">
        <v>283</v>
      </c>
      <c r="C324" s="21"/>
      <c r="D324" s="22"/>
      <c r="E324" s="15"/>
      <c r="F324" s="84">
        <f>F325+F330+F335+F342+F347+F355</f>
        <v>146516</v>
      </c>
      <c r="G324" s="89">
        <f t="shared" si="154"/>
        <v>0.61749999999301508</v>
      </c>
      <c r="H324" s="16">
        <f t="shared" si="149"/>
        <v>146516.61749999999</v>
      </c>
      <c r="I324" s="51">
        <f t="shared" ref="I324:Q324" si="175">I325+I330+I335+I342+I347+I355</f>
        <v>5750</v>
      </c>
      <c r="J324" s="51">
        <f t="shared" si="175"/>
        <v>30140</v>
      </c>
      <c r="K324" s="51">
        <f t="shared" si="175"/>
        <v>73581.042499999996</v>
      </c>
      <c r="L324" s="51">
        <f t="shared" si="175"/>
        <v>37045.574999999997</v>
      </c>
      <c r="M324" s="51">
        <f t="shared" si="175"/>
        <v>0</v>
      </c>
      <c r="N324" s="51">
        <f t="shared" si="175"/>
        <v>0</v>
      </c>
      <c r="O324" s="51">
        <f t="shared" si="175"/>
        <v>0</v>
      </c>
      <c r="P324" s="51">
        <f t="shared" si="175"/>
        <v>0</v>
      </c>
      <c r="Q324" s="59">
        <f t="shared" si="175"/>
        <v>0</v>
      </c>
      <c r="R324" s="168">
        <f>R325+R330+R335+R342+R347+R355</f>
        <v>4797.08</v>
      </c>
      <c r="S324" s="89">
        <f t="shared" si="145"/>
        <v>31001.919999999998</v>
      </c>
      <c r="T324" s="216">
        <f t="shared" si="146"/>
        <v>35799</v>
      </c>
      <c r="U324" s="144">
        <f>U325+U330+U335+U342+U347+U355</f>
        <v>0</v>
      </c>
      <c r="V324" s="144">
        <v>3556</v>
      </c>
      <c r="W324" s="218">
        <f>17834.5+14408.5</f>
        <v>32243</v>
      </c>
      <c r="X324" s="144">
        <f t="shared" ref="X324:AC324" si="176">X325+X330+X335+X342+X347+X355</f>
        <v>0</v>
      </c>
      <c r="Y324" s="144">
        <f t="shared" si="176"/>
        <v>0</v>
      </c>
      <c r="Z324" s="144">
        <f t="shared" si="176"/>
        <v>0</v>
      </c>
      <c r="AA324" s="144">
        <f t="shared" si="176"/>
        <v>0</v>
      </c>
      <c r="AB324" s="144">
        <f t="shared" si="176"/>
        <v>0</v>
      </c>
      <c r="AC324" s="151">
        <f t="shared" si="176"/>
        <v>0</v>
      </c>
      <c r="AD324" s="32">
        <f>+AD325+AD330+AD335+AD342+AD347+AD355</f>
        <v>140694</v>
      </c>
      <c r="AE324" s="32">
        <f>AE325+AE330+AE335+AE342+AE347+AE355</f>
        <v>142788.53</v>
      </c>
      <c r="AF324" s="126">
        <f t="shared" si="174"/>
        <v>101.48871309366426</v>
      </c>
    </row>
    <row r="325" spans="1:32" s="3" customFormat="1" ht="15.75" x14ac:dyDescent="0.25">
      <c r="A325" s="7" t="s">
        <v>289</v>
      </c>
      <c r="B325" s="13" t="s">
        <v>265</v>
      </c>
      <c r="C325" s="23"/>
      <c r="D325" s="24"/>
      <c r="E325" s="17"/>
      <c r="F325" s="82">
        <f>SUM(F326:F329)</f>
        <v>1000</v>
      </c>
      <c r="G325" s="89">
        <f t="shared" si="154"/>
        <v>0</v>
      </c>
      <c r="H325" s="18">
        <f t="shared" si="149"/>
        <v>1000</v>
      </c>
      <c r="I325" s="54">
        <f t="shared" ref="I325:Q325" si="177">SUM(I326:I329)</f>
        <v>1000</v>
      </c>
      <c r="J325" s="55">
        <f t="shared" si="177"/>
        <v>0</v>
      </c>
      <c r="K325" s="55">
        <f t="shared" si="177"/>
        <v>0</v>
      </c>
      <c r="L325" s="55">
        <f t="shared" si="177"/>
        <v>0</v>
      </c>
      <c r="M325" s="55">
        <f t="shared" si="177"/>
        <v>0</v>
      </c>
      <c r="N325" s="55">
        <f t="shared" si="177"/>
        <v>0</v>
      </c>
      <c r="O325" s="55">
        <f t="shared" si="177"/>
        <v>0</v>
      </c>
      <c r="P325" s="55">
        <f t="shared" si="177"/>
        <v>0</v>
      </c>
      <c r="Q325" s="56">
        <f t="shared" si="177"/>
        <v>0</v>
      </c>
      <c r="R325" s="169">
        <f>SUM(R326:R329)</f>
        <v>456.11</v>
      </c>
      <c r="S325" s="89">
        <f t="shared" ref="S325:S388" si="178">T325-R325</f>
        <v>-456.11</v>
      </c>
      <c r="T325" s="216">
        <f t="shared" ref="T325:T388" si="179">+U325+V325+W325+X325+Y325+Z325+AA325+AB325+AC325</f>
        <v>0</v>
      </c>
      <c r="U325" s="144">
        <f>SUM(U326:U329)</f>
        <v>0</v>
      </c>
      <c r="V325" s="145">
        <f t="shared" ref="V325:AC325" si="180">SUM(V326:V329)</f>
        <v>0</v>
      </c>
      <c r="W325" s="145">
        <f t="shared" si="180"/>
        <v>0</v>
      </c>
      <c r="X325" s="145">
        <f t="shared" si="180"/>
        <v>0</v>
      </c>
      <c r="Y325" s="145">
        <f t="shared" si="180"/>
        <v>0</v>
      </c>
      <c r="Z325" s="145">
        <f t="shared" si="180"/>
        <v>0</v>
      </c>
      <c r="AA325" s="145">
        <f t="shared" si="180"/>
        <v>0</v>
      </c>
      <c r="AB325" s="145">
        <f t="shared" si="180"/>
        <v>0</v>
      </c>
      <c r="AC325" s="146">
        <f t="shared" si="180"/>
        <v>0</v>
      </c>
      <c r="AD325" s="33">
        <v>5700</v>
      </c>
      <c r="AE325" s="33">
        <v>2685.47</v>
      </c>
      <c r="AF325" s="127">
        <f t="shared" si="174"/>
        <v>47.113508771929823</v>
      </c>
    </row>
    <row r="326" spans="1:32" outlineLevel="1" x14ac:dyDescent="0.25">
      <c r="A326" s="5" t="s">
        <v>290</v>
      </c>
      <c r="B326" s="75" t="s">
        <v>284</v>
      </c>
      <c r="C326" s="25"/>
      <c r="D326" s="92">
        <v>1</v>
      </c>
      <c r="E326" s="110">
        <v>200</v>
      </c>
      <c r="F326" s="93">
        <f>D326*E326</f>
        <v>200</v>
      </c>
      <c r="G326" s="74">
        <f t="shared" si="154"/>
        <v>0</v>
      </c>
      <c r="H326" s="95">
        <f t="shared" si="149"/>
        <v>200</v>
      </c>
      <c r="I326" s="112">
        <v>200</v>
      </c>
      <c r="J326" s="57"/>
      <c r="K326" s="57"/>
      <c r="L326" s="57"/>
      <c r="M326" s="57"/>
      <c r="N326" s="57"/>
      <c r="O326" s="57"/>
      <c r="P326" s="68"/>
      <c r="Q326" s="58"/>
      <c r="R326" s="170">
        <f>P326*Q326</f>
        <v>0</v>
      </c>
      <c r="S326" s="89">
        <f t="shared" si="178"/>
        <v>0</v>
      </c>
      <c r="T326" s="216">
        <f t="shared" si="179"/>
        <v>0</v>
      </c>
      <c r="U326" s="147"/>
      <c r="V326" s="148"/>
      <c r="W326" s="148"/>
      <c r="X326" s="148"/>
      <c r="Y326" s="148"/>
      <c r="Z326" s="148"/>
      <c r="AA326" s="148"/>
      <c r="AB326" s="149"/>
      <c r="AC326" s="150"/>
      <c r="AD326" s="76"/>
      <c r="AE326" s="76"/>
      <c r="AF326" s="128"/>
    </row>
    <row r="327" spans="1:32" outlineLevel="1" x14ac:dyDescent="0.25">
      <c r="A327" s="4" t="s">
        <v>291</v>
      </c>
      <c r="B327" s="75" t="s">
        <v>310</v>
      </c>
      <c r="C327" s="25"/>
      <c r="D327" s="92">
        <v>4</v>
      </c>
      <c r="E327" s="110">
        <v>100</v>
      </c>
      <c r="F327" s="93">
        <f>D327*E327</f>
        <v>400</v>
      </c>
      <c r="G327" s="74">
        <f t="shared" si="154"/>
        <v>0</v>
      </c>
      <c r="H327" s="95">
        <f t="shared" si="149"/>
        <v>400</v>
      </c>
      <c r="I327" s="112">
        <v>400</v>
      </c>
      <c r="J327" s="57"/>
      <c r="K327" s="57"/>
      <c r="L327" s="57"/>
      <c r="M327" s="57"/>
      <c r="N327" s="57"/>
      <c r="O327" s="57"/>
      <c r="P327" s="68"/>
      <c r="Q327" s="58"/>
      <c r="R327" s="170">
        <v>183.96</v>
      </c>
      <c r="S327" s="89">
        <f t="shared" si="178"/>
        <v>-183.96</v>
      </c>
      <c r="T327" s="216">
        <f t="shared" si="179"/>
        <v>0</v>
      </c>
      <c r="U327" s="147"/>
      <c r="V327" s="148"/>
      <c r="W327" s="148"/>
      <c r="X327" s="148"/>
      <c r="Y327" s="148"/>
      <c r="Z327" s="148"/>
      <c r="AA327" s="148"/>
      <c r="AB327" s="149"/>
      <c r="AC327" s="150"/>
      <c r="AD327" s="76"/>
      <c r="AE327" s="76"/>
      <c r="AF327" s="128"/>
    </row>
    <row r="328" spans="1:32" outlineLevel="1" x14ac:dyDescent="0.25">
      <c r="A328" s="4" t="s">
        <v>292</v>
      </c>
      <c r="B328" s="75" t="s">
        <v>285</v>
      </c>
      <c r="C328" s="25"/>
      <c r="D328" s="92">
        <v>8</v>
      </c>
      <c r="E328" s="110">
        <v>50</v>
      </c>
      <c r="F328" s="93">
        <f>D328*E328</f>
        <v>400</v>
      </c>
      <c r="G328" s="74">
        <f t="shared" si="154"/>
        <v>0</v>
      </c>
      <c r="H328" s="95">
        <f t="shared" si="149"/>
        <v>400</v>
      </c>
      <c r="I328" s="112">
        <v>400</v>
      </c>
      <c r="J328" s="57"/>
      <c r="K328" s="57"/>
      <c r="L328" s="57"/>
      <c r="M328" s="57"/>
      <c r="N328" s="57"/>
      <c r="O328" s="57"/>
      <c r="P328" s="68"/>
      <c r="Q328" s="58"/>
      <c r="R328" s="170">
        <f>P328*Q328</f>
        <v>0</v>
      </c>
      <c r="S328" s="89">
        <f t="shared" si="178"/>
        <v>0</v>
      </c>
      <c r="T328" s="216">
        <f t="shared" si="179"/>
        <v>0</v>
      </c>
      <c r="U328" s="147"/>
      <c r="V328" s="148"/>
      <c r="W328" s="148"/>
      <c r="X328" s="148"/>
      <c r="Y328" s="148"/>
      <c r="Z328" s="148"/>
      <c r="AA328" s="148"/>
      <c r="AB328" s="149"/>
      <c r="AC328" s="150"/>
      <c r="AD328" s="76"/>
      <c r="AE328" s="76"/>
      <c r="AF328" s="128"/>
    </row>
    <row r="329" spans="1:32" outlineLevel="1" x14ac:dyDescent="0.25">
      <c r="A329" s="4" t="s">
        <v>293</v>
      </c>
      <c r="B329" s="75" t="s">
        <v>47</v>
      </c>
      <c r="C329" s="25"/>
      <c r="D329" s="92">
        <v>0</v>
      </c>
      <c r="E329" s="110">
        <v>0</v>
      </c>
      <c r="F329" s="93">
        <f>D329*E329</f>
        <v>0</v>
      </c>
      <c r="G329" s="74">
        <f t="shared" si="154"/>
        <v>0</v>
      </c>
      <c r="H329" s="95">
        <f t="shared" si="149"/>
        <v>0</v>
      </c>
      <c r="I329" s="112"/>
      <c r="J329" s="57"/>
      <c r="K329" s="57"/>
      <c r="L329" s="57"/>
      <c r="M329" s="57"/>
      <c r="N329" s="57"/>
      <c r="O329" s="57"/>
      <c r="P329" s="68"/>
      <c r="Q329" s="58"/>
      <c r="R329" s="170">
        <v>272.14999999999998</v>
      </c>
      <c r="S329" s="89">
        <f t="shared" si="178"/>
        <v>-272.14999999999998</v>
      </c>
      <c r="T329" s="216">
        <f t="shared" si="179"/>
        <v>0</v>
      </c>
      <c r="U329" s="147"/>
      <c r="V329" s="148"/>
      <c r="W329" s="148"/>
      <c r="X329" s="148"/>
      <c r="Y329" s="148"/>
      <c r="Z329" s="148"/>
      <c r="AA329" s="148"/>
      <c r="AB329" s="149"/>
      <c r="AC329" s="150"/>
      <c r="AD329" s="76"/>
      <c r="AE329" s="76"/>
      <c r="AF329" s="128"/>
    </row>
    <row r="330" spans="1:32" s="3" customFormat="1" ht="15.75" x14ac:dyDescent="0.25">
      <c r="A330" s="7" t="s">
        <v>294</v>
      </c>
      <c r="B330" s="13" t="s">
        <v>248</v>
      </c>
      <c r="C330" s="23"/>
      <c r="D330" s="24"/>
      <c r="E330" s="17"/>
      <c r="F330" s="82">
        <f>SUM(F331:F334)</f>
        <v>10158</v>
      </c>
      <c r="G330" s="89">
        <f t="shared" si="154"/>
        <v>0</v>
      </c>
      <c r="H330" s="18">
        <f t="shared" si="149"/>
        <v>10158</v>
      </c>
      <c r="I330" s="54">
        <f t="shared" ref="I330:Q330" si="181">SUM(I331:I334)</f>
        <v>0</v>
      </c>
      <c r="J330" s="55">
        <f t="shared" si="181"/>
        <v>10158</v>
      </c>
      <c r="K330" s="55">
        <f t="shared" si="181"/>
        <v>0</v>
      </c>
      <c r="L330" s="55">
        <f t="shared" si="181"/>
        <v>0</v>
      </c>
      <c r="M330" s="55">
        <f t="shared" si="181"/>
        <v>0</v>
      </c>
      <c r="N330" s="55">
        <f t="shared" si="181"/>
        <v>0</v>
      </c>
      <c r="O330" s="55">
        <f t="shared" si="181"/>
        <v>0</v>
      </c>
      <c r="P330" s="55">
        <f t="shared" si="181"/>
        <v>0</v>
      </c>
      <c r="Q330" s="56">
        <f t="shared" si="181"/>
        <v>0</v>
      </c>
      <c r="R330" s="169">
        <f>SUM(R331:R334)</f>
        <v>763.07999999999993</v>
      </c>
      <c r="S330" s="89">
        <f t="shared" si="178"/>
        <v>-763.07999999999993</v>
      </c>
      <c r="T330" s="216">
        <f t="shared" si="179"/>
        <v>0</v>
      </c>
      <c r="U330" s="144">
        <f>SUM(U331:U334)</f>
        <v>0</v>
      </c>
      <c r="V330" s="145">
        <f t="shared" ref="V330:AC330" si="182">SUM(V331:V334)</f>
        <v>0</v>
      </c>
      <c r="W330" s="145">
        <f t="shared" si="182"/>
        <v>0</v>
      </c>
      <c r="X330" s="145">
        <f t="shared" si="182"/>
        <v>0</v>
      </c>
      <c r="Y330" s="145">
        <f t="shared" si="182"/>
        <v>0</v>
      </c>
      <c r="Z330" s="145">
        <f t="shared" si="182"/>
        <v>0</v>
      </c>
      <c r="AA330" s="145">
        <f t="shared" si="182"/>
        <v>0</v>
      </c>
      <c r="AB330" s="145">
        <f t="shared" si="182"/>
        <v>0</v>
      </c>
      <c r="AC330" s="146">
        <f t="shared" si="182"/>
        <v>0</v>
      </c>
      <c r="AD330" s="33">
        <v>16000</v>
      </c>
      <c r="AE330" s="33">
        <f>7493.54+2706.45+8517.9+683.65+533.03</f>
        <v>19934.57</v>
      </c>
      <c r="AF330" s="127">
        <f>AE330*100/AD330</f>
        <v>124.59106250000001</v>
      </c>
    </row>
    <row r="331" spans="1:32" outlineLevel="1" x14ac:dyDescent="0.25">
      <c r="A331" s="4" t="s">
        <v>295</v>
      </c>
      <c r="B331" s="75" t="s">
        <v>267</v>
      </c>
      <c r="C331" s="25"/>
      <c r="D331" s="92">
        <v>1</v>
      </c>
      <c r="E331" s="110">
        <v>5000</v>
      </c>
      <c r="F331" s="93">
        <f>D331*E331</f>
        <v>5000</v>
      </c>
      <c r="G331" s="74">
        <f t="shared" si="154"/>
        <v>0</v>
      </c>
      <c r="H331" s="95">
        <f t="shared" si="149"/>
        <v>5000</v>
      </c>
      <c r="I331" s="112"/>
      <c r="J331" s="57">
        <v>5000</v>
      </c>
      <c r="K331" s="57"/>
      <c r="L331" s="57"/>
      <c r="M331" s="57"/>
      <c r="N331" s="57"/>
      <c r="O331" s="57"/>
      <c r="P331" s="68"/>
      <c r="Q331" s="58"/>
      <c r="R331" s="170">
        <v>239.68</v>
      </c>
      <c r="S331" s="89">
        <f t="shared" si="178"/>
        <v>-239.68</v>
      </c>
      <c r="T331" s="216">
        <f t="shared" si="179"/>
        <v>0</v>
      </c>
      <c r="U331" s="147"/>
      <c r="V331" s="148"/>
      <c r="W331" s="148"/>
      <c r="X331" s="148"/>
      <c r="Y331" s="148"/>
      <c r="Z331" s="148"/>
      <c r="AA331" s="148"/>
      <c r="AB331" s="149"/>
      <c r="AC331" s="150"/>
      <c r="AD331" s="76"/>
      <c r="AE331" s="76"/>
      <c r="AF331" s="128"/>
    </row>
    <row r="332" spans="1:32" outlineLevel="1" x14ac:dyDescent="0.25">
      <c r="A332" s="4" t="s">
        <v>296</v>
      </c>
      <c r="B332" s="75" t="s">
        <v>251</v>
      </c>
      <c r="C332" s="25"/>
      <c r="D332" s="92">
        <v>1</v>
      </c>
      <c r="E332" s="110">
        <v>4000</v>
      </c>
      <c r="F332" s="93">
        <f>D332*E332</f>
        <v>4000</v>
      </c>
      <c r="G332" s="74">
        <f t="shared" si="154"/>
        <v>0</v>
      </c>
      <c r="H332" s="95">
        <f t="shared" si="149"/>
        <v>4000</v>
      </c>
      <c r="I332" s="112"/>
      <c r="J332" s="57">
        <v>4000</v>
      </c>
      <c r="K332" s="57"/>
      <c r="L332" s="57"/>
      <c r="M332" s="57"/>
      <c r="N332" s="57"/>
      <c r="O332" s="57"/>
      <c r="P332" s="68"/>
      <c r="Q332" s="58"/>
      <c r="R332" s="170">
        <v>523.4</v>
      </c>
      <c r="S332" s="89">
        <f t="shared" si="178"/>
        <v>-523.4</v>
      </c>
      <c r="T332" s="216">
        <f t="shared" si="179"/>
        <v>0</v>
      </c>
      <c r="U332" s="147"/>
      <c r="V332" s="148"/>
      <c r="W332" s="148"/>
      <c r="X332" s="148"/>
      <c r="Y332" s="148"/>
      <c r="Z332" s="148"/>
      <c r="AA332" s="148"/>
      <c r="AB332" s="149"/>
      <c r="AC332" s="150"/>
      <c r="AD332" s="76"/>
      <c r="AE332" s="76"/>
      <c r="AF332" s="128"/>
    </row>
    <row r="333" spans="1:32" outlineLevel="1" x14ac:dyDescent="0.25">
      <c r="A333" s="4" t="s">
        <v>297</v>
      </c>
      <c r="B333" s="75" t="s">
        <v>856</v>
      </c>
      <c r="C333" s="25"/>
      <c r="D333" s="92">
        <v>1</v>
      </c>
      <c r="E333" s="110">
        <v>1000</v>
      </c>
      <c r="F333" s="93">
        <f>D333*E333</f>
        <v>1000</v>
      </c>
      <c r="G333" s="74">
        <f>H333-F333</f>
        <v>0</v>
      </c>
      <c r="H333" s="95">
        <f t="shared" si="149"/>
        <v>1000</v>
      </c>
      <c r="I333" s="112"/>
      <c r="J333" s="57">
        <v>1000</v>
      </c>
      <c r="K333" s="57"/>
      <c r="L333" s="57"/>
      <c r="M333" s="57"/>
      <c r="N333" s="57"/>
      <c r="O333" s="57"/>
      <c r="P333" s="68"/>
      <c r="Q333" s="58"/>
      <c r="R333" s="170">
        <f>P333*Q333</f>
        <v>0</v>
      </c>
      <c r="S333" s="89">
        <f t="shared" si="178"/>
        <v>0</v>
      </c>
      <c r="T333" s="216">
        <f t="shared" si="179"/>
        <v>0</v>
      </c>
      <c r="U333" s="147"/>
      <c r="V333" s="148"/>
      <c r="W333" s="148"/>
      <c r="X333" s="148"/>
      <c r="Y333" s="148"/>
      <c r="Z333" s="148"/>
      <c r="AA333" s="148"/>
      <c r="AB333" s="149"/>
      <c r="AC333" s="150"/>
      <c r="AD333" s="76"/>
      <c r="AE333" s="76"/>
      <c r="AF333" s="128"/>
    </row>
    <row r="334" spans="1:32" outlineLevel="1" x14ac:dyDescent="0.25">
      <c r="A334" s="4" t="s">
        <v>819</v>
      </c>
      <c r="B334" s="75" t="s">
        <v>47</v>
      </c>
      <c r="C334" s="25"/>
      <c r="D334" s="92">
        <v>1</v>
      </c>
      <c r="E334" s="110">
        <v>158</v>
      </c>
      <c r="F334" s="93">
        <f>D334*E334</f>
        <v>158</v>
      </c>
      <c r="G334" s="74">
        <f t="shared" si="154"/>
        <v>0</v>
      </c>
      <c r="H334" s="95">
        <f t="shared" ref="H334:H397" si="183">SUM(I334:Q334)</f>
        <v>158</v>
      </c>
      <c r="I334" s="112"/>
      <c r="J334" s="57">
        <f>1000-842</f>
        <v>158</v>
      </c>
      <c r="K334" s="57"/>
      <c r="L334" s="57"/>
      <c r="M334" s="57"/>
      <c r="N334" s="57"/>
      <c r="O334" s="57"/>
      <c r="P334" s="68"/>
      <c r="Q334" s="58"/>
      <c r="R334" s="170">
        <f>P334*Q334</f>
        <v>0</v>
      </c>
      <c r="S334" s="89">
        <f t="shared" si="178"/>
        <v>0</v>
      </c>
      <c r="T334" s="216">
        <f t="shared" si="179"/>
        <v>0</v>
      </c>
      <c r="U334" s="147"/>
      <c r="V334" s="148"/>
      <c r="W334" s="148"/>
      <c r="X334" s="148"/>
      <c r="Y334" s="148"/>
      <c r="Z334" s="148"/>
      <c r="AA334" s="148"/>
      <c r="AB334" s="149"/>
      <c r="AC334" s="150"/>
      <c r="AD334" s="76"/>
      <c r="AE334" s="76"/>
      <c r="AF334" s="128"/>
    </row>
    <row r="335" spans="1:32" s="3" customFormat="1" ht="15.75" x14ac:dyDescent="0.25">
      <c r="A335" s="7" t="s">
        <v>298</v>
      </c>
      <c r="B335" s="13" t="s">
        <v>247</v>
      </c>
      <c r="C335" s="23"/>
      <c r="D335" s="24"/>
      <c r="E335" s="17"/>
      <c r="F335" s="82">
        <f>SUM(F336:F341)</f>
        <v>37114</v>
      </c>
      <c r="G335" s="89">
        <f t="shared" si="154"/>
        <v>0.47000000000116415</v>
      </c>
      <c r="H335" s="18">
        <f t="shared" si="183"/>
        <v>37114.47</v>
      </c>
      <c r="I335" s="54">
        <f t="shared" ref="I335:Q335" si="184">SUM(I336:I341)</f>
        <v>2000</v>
      </c>
      <c r="J335" s="55">
        <f t="shared" si="184"/>
        <v>4000</v>
      </c>
      <c r="K335" s="55">
        <f t="shared" si="184"/>
        <v>27276.720000000001</v>
      </c>
      <c r="L335" s="55">
        <f t="shared" si="184"/>
        <v>3837.75</v>
      </c>
      <c r="M335" s="55">
        <f t="shared" si="184"/>
        <v>0</v>
      </c>
      <c r="N335" s="55">
        <f t="shared" si="184"/>
        <v>0</v>
      </c>
      <c r="O335" s="55">
        <f t="shared" si="184"/>
        <v>0</v>
      </c>
      <c r="P335" s="55">
        <f t="shared" si="184"/>
        <v>0</v>
      </c>
      <c r="Q335" s="56">
        <f t="shared" si="184"/>
        <v>0</v>
      </c>
      <c r="R335" s="169">
        <f>SUM(R336:R341)</f>
        <v>1100</v>
      </c>
      <c r="S335" s="89">
        <f t="shared" si="178"/>
        <v>-1100</v>
      </c>
      <c r="T335" s="216">
        <f t="shared" si="179"/>
        <v>0</v>
      </c>
      <c r="U335" s="144">
        <f>SUM(U336:U341)</f>
        <v>0</v>
      </c>
      <c r="V335" s="145">
        <f t="shared" ref="V335:AC335" si="185">SUM(V336:V341)</f>
        <v>0</v>
      </c>
      <c r="W335" s="145">
        <f t="shared" si="185"/>
        <v>0</v>
      </c>
      <c r="X335" s="145">
        <f t="shared" si="185"/>
        <v>0</v>
      </c>
      <c r="Y335" s="145">
        <f t="shared" si="185"/>
        <v>0</v>
      </c>
      <c r="Z335" s="145">
        <f t="shared" si="185"/>
        <v>0</v>
      </c>
      <c r="AA335" s="145">
        <f t="shared" si="185"/>
        <v>0</v>
      </c>
      <c r="AB335" s="145">
        <f t="shared" si="185"/>
        <v>0</v>
      </c>
      <c r="AC335" s="146">
        <f t="shared" si="185"/>
        <v>0</v>
      </c>
      <c r="AD335" s="33">
        <f>20000+8800+6607</f>
        <v>35407</v>
      </c>
      <c r="AE335" s="33">
        <f>23205.38+11058.14</f>
        <v>34263.520000000004</v>
      </c>
      <c r="AF335" s="127">
        <f>AE335*100/AD335</f>
        <v>96.770469116276459</v>
      </c>
    </row>
    <row r="336" spans="1:32" outlineLevel="1" x14ac:dyDescent="0.25">
      <c r="A336" s="4" t="s">
        <v>299</v>
      </c>
      <c r="B336" s="75" t="s">
        <v>934</v>
      </c>
      <c r="C336" s="25"/>
      <c r="D336" s="92">
        <v>5</v>
      </c>
      <c r="E336" s="110">
        <f>4900+265+7.8</f>
        <v>5172.8</v>
      </c>
      <c r="F336" s="93">
        <f t="shared" ref="F336:F341" si="186">D336*E336</f>
        <v>25864</v>
      </c>
      <c r="G336" s="74">
        <f t="shared" si="154"/>
        <v>0.47000000000116415</v>
      </c>
      <c r="H336" s="95">
        <f t="shared" si="183"/>
        <v>25864.47</v>
      </c>
      <c r="I336" s="112">
        <v>2000</v>
      </c>
      <c r="J336" s="57">
        <v>3000</v>
      </c>
      <c r="K336" s="57">
        <v>17026.72</v>
      </c>
      <c r="L336" s="57">
        <v>3837.75</v>
      </c>
      <c r="M336" s="57"/>
      <c r="N336" s="57"/>
      <c r="O336" s="57"/>
      <c r="P336" s="68"/>
      <c r="Q336" s="58"/>
      <c r="R336" s="170">
        <f t="shared" ref="R336:R341" si="187">P336*Q336</f>
        <v>0</v>
      </c>
      <c r="S336" s="89">
        <f t="shared" si="178"/>
        <v>0</v>
      </c>
      <c r="T336" s="216">
        <f t="shared" si="179"/>
        <v>0</v>
      </c>
      <c r="U336" s="147"/>
      <c r="V336" s="148"/>
      <c r="W336" s="148"/>
      <c r="X336" s="148"/>
      <c r="Y336" s="148"/>
      <c r="Z336" s="148"/>
      <c r="AA336" s="148"/>
      <c r="AB336" s="149"/>
      <c r="AC336" s="150"/>
      <c r="AD336" s="76"/>
      <c r="AE336" s="76"/>
      <c r="AF336" s="128"/>
    </row>
    <row r="337" spans="1:32" outlineLevel="1" x14ac:dyDescent="0.25">
      <c r="A337" s="4" t="s">
        <v>300</v>
      </c>
      <c r="B337" s="75" t="s">
        <v>935</v>
      </c>
      <c r="C337" s="25"/>
      <c r="D337" s="92">
        <v>4</v>
      </c>
      <c r="E337" s="110">
        <v>1100</v>
      </c>
      <c r="F337" s="93">
        <f t="shared" si="186"/>
        <v>4400</v>
      </c>
      <c r="G337" s="74">
        <f t="shared" si="154"/>
        <v>0</v>
      </c>
      <c r="H337" s="95">
        <f t="shared" si="183"/>
        <v>4400</v>
      </c>
      <c r="I337" s="112"/>
      <c r="J337" s="57"/>
      <c r="K337" s="57">
        <v>4400</v>
      </c>
      <c r="L337" s="57"/>
      <c r="M337" s="57"/>
      <c r="N337" s="57"/>
      <c r="O337" s="57"/>
      <c r="P337" s="68"/>
      <c r="Q337" s="58"/>
      <c r="R337" s="170">
        <v>1100</v>
      </c>
      <c r="S337" s="89">
        <f t="shared" si="178"/>
        <v>-1100</v>
      </c>
      <c r="T337" s="216">
        <f t="shared" si="179"/>
        <v>0</v>
      </c>
      <c r="U337" s="147"/>
      <c r="V337" s="148"/>
      <c r="W337" s="148"/>
      <c r="X337" s="148"/>
      <c r="Y337" s="148"/>
      <c r="Z337" s="148"/>
      <c r="AA337" s="148"/>
      <c r="AB337" s="149"/>
      <c r="AC337" s="150"/>
      <c r="AD337" s="76"/>
      <c r="AE337" s="76"/>
      <c r="AF337" s="128"/>
    </row>
    <row r="338" spans="1:32" outlineLevel="1" x14ac:dyDescent="0.25">
      <c r="A338" s="4" t="s">
        <v>306</v>
      </c>
      <c r="B338" s="75" t="s">
        <v>936</v>
      </c>
      <c r="C338" s="25"/>
      <c r="D338" s="92">
        <v>1</v>
      </c>
      <c r="E338" s="110">
        <f>4364-5*265-39</f>
        <v>3000</v>
      </c>
      <c r="F338" s="93">
        <f t="shared" si="186"/>
        <v>3000</v>
      </c>
      <c r="G338" s="74">
        <f t="shared" si="154"/>
        <v>0</v>
      </c>
      <c r="H338" s="95">
        <f t="shared" si="183"/>
        <v>3000</v>
      </c>
      <c r="I338" s="112"/>
      <c r="J338" s="57"/>
      <c r="K338" s="57">
        <v>3000</v>
      </c>
      <c r="L338" s="57"/>
      <c r="M338" s="57"/>
      <c r="N338" s="57"/>
      <c r="O338" s="57"/>
      <c r="P338" s="68"/>
      <c r="Q338" s="58"/>
      <c r="R338" s="170">
        <f t="shared" si="187"/>
        <v>0</v>
      </c>
      <c r="S338" s="89">
        <f t="shared" si="178"/>
        <v>0</v>
      </c>
      <c r="T338" s="216">
        <f t="shared" si="179"/>
        <v>0</v>
      </c>
      <c r="U338" s="147"/>
      <c r="V338" s="148"/>
      <c r="W338" s="148"/>
      <c r="X338" s="148"/>
      <c r="Y338" s="148"/>
      <c r="Z338" s="148"/>
      <c r="AA338" s="148"/>
      <c r="AB338" s="149"/>
      <c r="AC338" s="150"/>
      <c r="AD338" s="76"/>
      <c r="AE338" s="76"/>
      <c r="AF338" s="128"/>
    </row>
    <row r="339" spans="1:32" outlineLevel="1" x14ac:dyDescent="0.25">
      <c r="A339" s="4" t="s">
        <v>966</v>
      </c>
      <c r="B339" s="75" t="s">
        <v>268</v>
      </c>
      <c r="C339" s="25"/>
      <c r="D339" s="92">
        <v>1</v>
      </c>
      <c r="E339" s="110">
        <f>1500*0.3</f>
        <v>450</v>
      </c>
      <c r="F339" s="93">
        <f t="shared" si="186"/>
        <v>450</v>
      </c>
      <c r="G339" s="74">
        <f t="shared" si="154"/>
        <v>0</v>
      </c>
      <c r="H339" s="95">
        <f t="shared" si="183"/>
        <v>450</v>
      </c>
      <c r="I339" s="112"/>
      <c r="J339" s="57"/>
      <c r="K339" s="57">
        <v>450</v>
      </c>
      <c r="L339" s="57"/>
      <c r="M339" s="57"/>
      <c r="N339" s="57"/>
      <c r="O339" s="57"/>
      <c r="P339" s="68"/>
      <c r="Q339" s="58"/>
      <c r="R339" s="170">
        <f t="shared" si="187"/>
        <v>0</v>
      </c>
      <c r="S339" s="89">
        <f t="shared" si="178"/>
        <v>0</v>
      </c>
      <c r="T339" s="216">
        <f t="shared" si="179"/>
        <v>0</v>
      </c>
      <c r="U339" s="147"/>
      <c r="V339" s="148"/>
      <c r="W339" s="148"/>
      <c r="X339" s="148"/>
      <c r="Y339" s="148"/>
      <c r="Z339" s="148"/>
      <c r="AA339" s="148"/>
      <c r="AB339" s="149"/>
      <c r="AC339" s="150"/>
      <c r="AD339" s="76"/>
      <c r="AE339" s="76"/>
      <c r="AF339" s="128"/>
    </row>
    <row r="340" spans="1:32" outlineLevel="1" x14ac:dyDescent="0.25">
      <c r="A340" s="4" t="s">
        <v>967</v>
      </c>
      <c r="B340" s="75" t="s">
        <v>269</v>
      </c>
      <c r="C340" s="25"/>
      <c r="D340" s="92">
        <v>1</v>
      </c>
      <c r="E340" s="110">
        <v>2800</v>
      </c>
      <c r="F340" s="93">
        <f t="shared" si="186"/>
        <v>2800</v>
      </c>
      <c r="G340" s="74">
        <f t="shared" ref="G340:G403" si="188">H340-F340</f>
        <v>0</v>
      </c>
      <c r="H340" s="95">
        <f t="shared" si="183"/>
        <v>2800</v>
      </c>
      <c r="I340" s="112"/>
      <c r="J340" s="57">
        <v>1000</v>
      </c>
      <c r="K340" s="57">
        <v>1800</v>
      </c>
      <c r="L340" s="57"/>
      <c r="M340" s="57"/>
      <c r="N340" s="57"/>
      <c r="O340" s="57"/>
      <c r="P340" s="68"/>
      <c r="Q340" s="58"/>
      <c r="R340" s="170">
        <f t="shared" si="187"/>
        <v>0</v>
      </c>
      <c r="S340" s="89">
        <f t="shared" si="178"/>
        <v>0</v>
      </c>
      <c r="T340" s="216">
        <f t="shared" si="179"/>
        <v>0</v>
      </c>
      <c r="U340" s="147"/>
      <c r="V340" s="148"/>
      <c r="W340" s="148"/>
      <c r="X340" s="148"/>
      <c r="Y340" s="148"/>
      <c r="Z340" s="148"/>
      <c r="AA340" s="148"/>
      <c r="AB340" s="149"/>
      <c r="AC340" s="150"/>
      <c r="AD340" s="76"/>
      <c r="AE340" s="76"/>
      <c r="AF340" s="128"/>
    </row>
    <row r="341" spans="1:32" outlineLevel="1" x14ac:dyDescent="0.25">
      <c r="A341" s="4" t="s">
        <v>968</v>
      </c>
      <c r="B341" s="75" t="s">
        <v>47</v>
      </c>
      <c r="C341" s="25"/>
      <c r="D341" s="92">
        <v>1</v>
      </c>
      <c r="E341" s="110">
        <v>600</v>
      </c>
      <c r="F341" s="93">
        <f t="shared" si="186"/>
        <v>600</v>
      </c>
      <c r="G341" s="74">
        <f t="shared" si="188"/>
        <v>0</v>
      </c>
      <c r="H341" s="95">
        <f t="shared" si="183"/>
        <v>600</v>
      </c>
      <c r="I341" s="112"/>
      <c r="J341" s="57"/>
      <c r="K341" s="57">
        <v>600</v>
      </c>
      <c r="L341" s="57"/>
      <c r="M341" s="57"/>
      <c r="N341" s="57"/>
      <c r="O341" s="57"/>
      <c r="P341" s="68"/>
      <c r="Q341" s="58"/>
      <c r="R341" s="170">
        <f t="shared" si="187"/>
        <v>0</v>
      </c>
      <c r="S341" s="89">
        <f t="shared" si="178"/>
        <v>0</v>
      </c>
      <c r="T341" s="216">
        <f t="shared" si="179"/>
        <v>0</v>
      </c>
      <c r="U341" s="147"/>
      <c r="V341" s="148"/>
      <c r="W341" s="148"/>
      <c r="X341" s="148"/>
      <c r="Y341" s="148"/>
      <c r="Z341" s="148"/>
      <c r="AA341" s="148"/>
      <c r="AB341" s="149"/>
      <c r="AC341" s="150"/>
      <c r="AD341" s="76"/>
      <c r="AE341" s="76"/>
      <c r="AF341" s="128"/>
    </row>
    <row r="342" spans="1:32" s="3" customFormat="1" ht="15.75" x14ac:dyDescent="0.25">
      <c r="A342" s="7" t="s">
        <v>301</v>
      </c>
      <c r="B342" s="13" t="s">
        <v>249</v>
      </c>
      <c r="C342" s="23"/>
      <c r="D342" s="24"/>
      <c r="E342" s="17"/>
      <c r="F342" s="82">
        <f>SUM(F343:F346)</f>
        <v>67800</v>
      </c>
      <c r="G342" s="89">
        <f t="shared" si="188"/>
        <v>9.750000000349246E-2</v>
      </c>
      <c r="H342" s="18">
        <f t="shared" si="183"/>
        <v>67800.097500000003</v>
      </c>
      <c r="I342" s="54">
        <f t="shared" ref="I342:Q342" si="189">SUM(I343:I346)</f>
        <v>0</v>
      </c>
      <c r="J342" s="55">
        <f t="shared" si="189"/>
        <v>7982</v>
      </c>
      <c r="K342" s="55">
        <f t="shared" si="189"/>
        <v>34167.172500000001</v>
      </c>
      <c r="L342" s="55">
        <f t="shared" si="189"/>
        <v>25650.924999999999</v>
      </c>
      <c r="M342" s="55">
        <f t="shared" si="189"/>
        <v>0</v>
      </c>
      <c r="N342" s="55">
        <f t="shared" si="189"/>
        <v>0</v>
      </c>
      <c r="O342" s="55">
        <f t="shared" si="189"/>
        <v>0</v>
      </c>
      <c r="P342" s="55">
        <f t="shared" si="189"/>
        <v>0</v>
      </c>
      <c r="Q342" s="56">
        <f t="shared" si="189"/>
        <v>0</v>
      </c>
      <c r="R342" s="169">
        <f>SUM(R343:R346)</f>
        <v>782.54</v>
      </c>
      <c r="S342" s="89">
        <f t="shared" si="178"/>
        <v>-782.54</v>
      </c>
      <c r="T342" s="216">
        <f t="shared" si="179"/>
        <v>0</v>
      </c>
      <c r="U342" s="144">
        <f>SUM(U343:U346)</f>
        <v>0</v>
      </c>
      <c r="V342" s="145">
        <f t="shared" ref="V342:AC342" si="190">SUM(V343:V346)</f>
        <v>0</v>
      </c>
      <c r="W342" s="145">
        <f t="shared" si="190"/>
        <v>0</v>
      </c>
      <c r="X342" s="145">
        <f t="shared" si="190"/>
        <v>0</v>
      </c>
      <c r="Y342" s="145">
        <f t="shared" si="190"/>
        <v>0</v>
      </c>
      <c r="Z342" s="145">
        <f t="shared" si="190"/>
        <v>0</v>
      </c>
      <c r="AA342" s="145">
        <f t="shared" si="190"/>
        <v>0</v>
      </c>
      <c r="AB342" s="145">
        <f t="shared" si="190"/>
        <v>0</v>
      </c>
      <c r="AC342" s="146">
        <f t="shared" si="190"/>
        <v>0</v>
      </c>
      <c r="AD342" s="33">
        <v>54637</v>
      </c>
      <c r="AE342" s="33">
        <f>50988.47+5709.35</f>
        <v>56697.82</v>
      </c>
      <c r="AF342" s="127">
        <f>AE342*100/AD342</f>
        <v>103.77183959587825</v>
      </c>
    </row>
    <row r="343" spans="1:32" outlineLevel="1" x14ac:dyDescent="0.25">
      <c r="A343" s="4" t="s">
        <v>302</v>
      </c>
      <c r="B343" s="75" t="s">
        <v>999</v>
      </c>
      <c r="C343" s="25"/>
      <c r="D343" s="92">
        <v>1</v>
      </c>
      <c r="E343" s="110">
        <v>53568</v>
      </c>
      <c r="F343" s="93">
        <f>D343*E343</f>
        <v>53568</v>
      </c>
      <c r="G343" s="74">
        <f t="shared" si="188"/>
        <v>9.750000000349246E-2</v>
      </c>
      <c r="H343" s="95">
        <f t="shared" si="183"/>
        <v>53568.097500000003</v>
      </c>
      <c r="I343" s="112"/>
      <c r="J343" s="57">
        <v>6000</v>
      </c>
      <c r="K343" s="57">
        <f>43303*0.95*0.85-7000-1050-4200-800</f>
        <v>21917.172500000001</v>
      </c>
      <c r="L343" s="57">
        <f>36145*0.9*0.85-2000</f>
        <v>25650.924999999999</v>
      </c>
      <c r="M343" s="57"/>
      <c r="N343" s="57"/>
      <c r="O343" s="57"/>
      <c r="P343" s="68"/>
      <c r="Q343" s="58"/>
      <c r="R343" s="170">
        <v>782.54</v>
      </c>
      <c r="S343" s="89">
        <f t="shared" si="178"/>
        <v>-782.54</v>
      </c>
      <c r="T343" s="216">
        <f t="shared" si="179"/>
        <v>0</v>
      </c>
      <c r="U343" s="147"/>
      <c r="V343" s="148"/>
      <c r="W343" s="148"/>
      <c r="X343" s="148"/>
      <c r="Y343" s="148"/>
      <c r="Z343" s="148"/>
      <c r="AA343" s="148"/>
      <c r="AB343" s="149"/>
      <c r="AC343" s="150"/>
      <c r="AD343" s="76"/>
      <c r="AE343" s="76"/>
      <c r="AF343" s="128"/>
    </row>
    <row r="344" spans="1:32" outlineLevel="1" x14ac:dyDescent="0.25">
      <c r="A344" s="6" t="s">
        <v>303</v>
      </c>
      <c r="B344" s="75" t="s">
        <v>936</v>
      </c>
      <c r="C344" s="25"/>
      <c r="D344" s="92">
        <v>2</v>
      </c>
      <c r="E344" s="110">
        <v>3500</v>
      </c>
      <c r="F344" s="93">
        <f>D344*E344</f>
        <v>7000</v>
      </c>
      <c r="G344" s="74">
        <f t="shared" si="188"/>
        <v>0</v>
      </c>
      <c r="H344" s="95">
        <f t="shared" si="183"/>
        <v>7000</v>
      </c>
      <c r="I344" s="112"/>
      <c r="J344" s="57"/>
      <c r="K344" s="57">
        <v>7000</v>
      </c>
      <c r="L344" s="57"/>
      <c r="M344" s="57"/>
      <c r="N344" s="57"/>
      <c r="O344" s="57"/>
      <c r="P344" s="68"/>
      <c r="Q344" s="58"/>
      <c r="R344" s="170">
        <f>P344*Q344</f>
        <v>0</v>
      </c>
      <c r="S344" s="89">
        <f t="shared" si="178"/>
        <v>0</v>
      </c>
      <c r="T344" s="216">
        <f t="shared" si="179"/>
        <v>0</v>
      </c>
      <c r="U344" s="147"/>
      <c r="V344" s="148"/>
      <c r="W344" s="148"/>
      <c r="X344" s="148"/>
      <c r="Y344" s="148"/>
      <c r="Z344" s="148"/>
      <c r="AA344" s="148"/>
      <c r="AB344" s="149"/>
      <c r="AC344" s="150"/>
      <c r="AD344" s="76"/>
      <c r="AE344" s="76"/>
      <c r="AF344" s="128"/>
    </row>
    <row r="345" spans="1:32" outlineLevel="1" x14ac:dyDescent="0.25">
      <c r="A345" s="4" t="s">
        <v>304</v>
      </c>
      <c r="B345" s="75" t="s">
        <v>268</v>
      </c>
      <c r="C345" s="25"/>
      <c r="D345" s="92">
        <v>1</v>
      </c>
      <c r="E345" s="110">
        <f>2950-1900</f>
        <v>1050</v>
      </c>
      <c r="F345" s="93">
        <f>D345*E345</f>
        <v>1050</v>
      </c>
      <c r="G345" s="74">
        <f t="shared" si="188"/>
        <v>0</v>
      </c>
      <c r="H345" s="95">
        <f t="shared" si="183"/>
        <v>1050</v>
      </c>
      <c r="I345" s="112"/>
      <c r="J345" s="57"/>
      <c r="K345" s="57">
        <v>1050</v>
      </c>
      <c r="L345" s="57"/>
      <c r="M345" s="57"/>
      <c r="N345" s="57"/>
      <c r="O345" s="57"/>
      <c r="P345" s="68"/>
      <c r="Q345" s="58"/>
      <c r="R345" s="170">
        <f>P345*Q345</f>
        <v>0</v>
      </c>
      <c r="S345" s="89">
        <f t="shared" si="178"/>
        <v>0</v>
      </c>
      <c r="T345" s="216">
        <f t="shared" si="179"/>
        <v>0</v>
      </c>
      <c r="U345" s="147"/>
      <c r="V345" s="148"/>
      <c r="W345" s="148"/>
      <c r="X345" s="148"/>
      <c r="Y345" s="148"/>
      <c r="Z345" s="148"/>
      <c r="AA345" s="148"/>
      <c r="AB345" s="149"/>
      <c r="AC345" s="150"/>
      <c r="AD345" s="76"/>
      <c r="AE345" s="76"/>
      <c r="AF345" s="128"/>
    </row>
    <row r="346" spans="1:32" outlineLevel="1" x14ac:dyDescent="0.25">
      <c r="A346" s="4" t="s">
        <v>305</v>
      </c>
      <c r="B346" s="75" t="s">
        <v>269</v>
      </c>
      <c r="C346" s="25"/>
      <c r="D346" s="92">
        <v>2</v>
      </c>
      <c r="E346" s="110">
        <f>2800+285+6</f>
        <v>3091</v>
      </c>
      <c r="F346" s="93">
        <f>D346*E346</f>
        <v>6182</v>
      </c>
      <c r="G346" s="74">
        <f t="shared" si="188"/>
        <v>0</v>
      </c>
      <c r="H346" s="95">
        <f t="shared" si="183"/>
        <v>6182</v>
      </c>
      <c r="I346" s="112"/>
      <c r="J346" s="57">
        <v>1982</v>
      </c>
      <c r="K346" s="57">
        <v>4200</v>
      </c>
      <c r="L346" s="57"/>
      <c r="M346" s="57"/>
      <c r="N346" s="57"/>
      <c r="O346" s="57"/>
      <c r="P346" s="68"/>
      <c r="Q346" s="58"/>
      <c r="R346" s="170">
        <f>P346*Q346</f>
        <v>0</v>
      </c>
      <c r="S346" s="89">
        <f t="shared" si="178"/>
        <v>0</v>
      </c>
      <c r="T346" s="216">
        <f t="shared" si="179"/>
        <v>0</v>
      </c>
      <c r="U346" s="147"/>
      <c r="V346" s="148"/>
      <c r="W346" s="148"/>
      <c r="X346" s="148"/>
      <c r="Y346" s="148"/>
      <c r="Z346" s="148"/>
      <c r="AA346" s="148"/>
      <c r="AB346" s="149"/>
      <c r="AC346" s="150"/>
      <c r="AD346" s="76"/>
      <c r="AE346" s="76"/>
      <c r="AF346" s="128"/>
    </row>
    <row r="347" spans="1:32" s="3" customFormat="1" ht="15.75" x14ac:dyDescent="0.25">
      <c r="A347" s="7" t="s">
        <v>618</v>
      </c>
      <c r="B347" s="13" t="s">
        <v>250</v>
      </c>
      <c r="C347" s="23"/>
      <c r="D347" s="24"/>
      <c r="E347" s="17"/>
      <c r="F347" s="82">
        <f>SUM(F348:F354)</f>
        <v>13550</v>
      </c>
      <c r="G347" s="89">
        <f t="shared" si="188"/>
        <v>0</v>
      </c>
      <c r="H347" s="18">
        <f t="shared" si="183"/>
        <v>13550</v>
      </c>
      <c r="I347" s="54">
        <f t="shared" ref="I347:Q347" si="191">SUM(I348:I354)</f>
        <v>2750</v>
      </c>
      <c r="J347" s="55">
        <f t="shared" si="191"/>
        <v>8000</v>
      </c>
      <c r="K347" s="55">
        <f t="shared" si="191"/>
        <v>800</v>
      </c>
      <c r="L347" s="55">
        <f t="shared" si="191"/>
        <v>2000</v>
      </c>
      <c r="M347" s="55">
        <f t="shared" si="191"/>
        <v>0</v>
      </c>
      <c r="N347" s="55">
        <f t="shared" si="191"/>
        <v>0</v>
      </c>
      <c r="O347" s="55">
        <f t="shared" si="191"/>
        <v>0</v>
      </c>
      <c r="P347" s="55">
        <f t="shared" si="191"/>
        <v>0</v>
      </c>
      <c r="Q347" s="56">
        <f t="shared" si="191"/>
        <v>0</v>
      </c>
      <c r="R347" s="169">
        <f>SUM(R348:R354)</f>
        <v>1695.35</v>
      </c>
      <c r="S347" s="89">
        <f t="shared" si="178"/>
        <v>-1695.35</v>
      </c>
      <c r="T347" s="216">
        <f t="shared" si="179"/>
        <v>0</v>
      </c>
      <c r="U347" s="144">
        <f>SUM(U348:U354)</f>
        <v>0</v>
      </c>
      <c r="V347" s="145">
        <f t="shared" ref="V347:AC347" si="192">SUM(V348:V354)</f>
        <v>0</v>
      </c>
      <c r="W347" s="145">
        <f t="shared" si="192"/>
        <v>0</v>
      </c>
      <c r="X347" s="145">
        <f t="shared" si="192"/>
        <v>0</v>
      </c>
      <c r="Y347" s="145">
        <f t="shared" si="192"/>
        <v>0</v>
      </c>
      <c r="Z347" s="145">
        <f t="shared" si="192"/>
        <v>0</v>
      </c>
      <c r="AA347" s="145">
        <f t="shared" si="192"/>
        <v>0</v>
      </c>
      <c r="AB347" s="145">
        <f t="shared" si="192"/>
        <v>0</v>
      </c>
      <c r="AC347" s="146">
        <f t="shared" si="192"/>
        <v>0</v>
      </c>
      <c r="AD347" s="33">
        <v>11750</v>
      </c>
      <c r="AE347" s="33">
        <f>667.34+1690.64+500+400+4459.09+3642.84+647.24</f>
        <v>12007.15</v>
      </c>
      <c r="AF347" s="127">
        <f>AE347*100/AD347</f>
        <v>102.18851063829787</v>
      </c>
    </row>
    <row r="348" spans="1:32" outlineLevel="1" x14ac:dyDescent="0.25">
      <c r="A348" s="4" t="s">
        <v>978</v>
      </c>
      <c r="B348" s="75" t="s">
        <v>998</v>
      </c>
      <c r="C348" s="25"/>
      <c r="D348" s="92">
        <v>2</v>
      </c>
      <c r="E348" s="110">
        <v>400</v>
      </c>
      <c r="F348" s="93">
        <f t="shared" ref="F348:F354" si="193">D348*E348</f>
        <v>800</v>
      </c>
      <c r="G348" s="74">
        <f t="shared" si="188"/>
        <v>0</v>
      </c>
      <c r="H348" s="95">
        <f t="shared" si="183"/>
        <v>800</v>
      </c>
      <c r="I348" s="112"/>
      <c r="J348" s="57"/>
      <c r="K348" s="57">
        <v>800</v>
      </c>
      <c r="L348" s="57"/>
      <c r="M348" s="57"/>
      <c r="N348" s="57"/>
      <c r="O348" s="57"/>
      <c r="P348" s="68"/>
      <c r="Q348" s="58"/>
      <c r="R348" s="170">
        <f t="shared" ref="R348:R354" si="194">P348*Q348</f>
        <v>0</v>
      </c>
      <c r="S348" s="89">
        <f t="shared" si="178"/>
        <v>0</v>
      </c>
      <c r="T348" s="216">
        <f t="shared" si="179"/>
        <v>0</v>
      </c>
      <c r="U348" s="147"/>
      <c r="V348" s="148"/>
      <c r="W348" s="148"/>
      <c r="X348" s="148"/>
      <c r="Y348" s="148"/>
      <c r="Z348" s="148"/>
      <c r="AA348" s="148"/>
      <c r="AB348" s="149"/>
      <c r="AC348" s="150"/>
      <c r="AD348" s="76"/>
      <c r="AE348" s="76"/>
      <c r="AF348" s="128"/>
    </row>
    <row r="349" spans="1:32" outlineLevel="1" x14ac:dyDescent="0.25">
      <c r="A349" s="4" t="s">
        <v>979</v>
      </c>
      <c r="B349" s="75" t="s">
        <v>270</v>
      </c>
      <c r="C349" s="25"/>
      <c r="D349" s="92">
        <v>1</v>
      </c>
      <c r="E349" s="110">
        <v>400</v>
      </c>
      <c r="F349" s="93">
        <f>D349*E349</f>
        <v>400</v>
      </c>
      <c r="G349" s="74">
        <f t="shared" si="188"/>
        <v>0</v>
      </c>
      <c r="H349" s="95">
        <f t="shared" si="183"/>
        <v>400</v>
      </c>
      <c r="I349" s="112">
        <v>400</v>
      </c>
      <c r="J349" s="57"/>
      <c r="K349" s="57"/>
      <c r="L349" s="57"/>
      <c r="M349" s="57"/>
      <c r="N349" s="57"/>
      <c r="O349" s="57"/>
      <c r="P349" s="68"/>
      <c r="Q349" s="58"/>
      <c r="R349" s="170">
        <f>P349*Q349</f>
        <v>0</v>
      </c>
      <c r="S349" s="89">
        <f t="shared" si="178"/>
        <v>0</v>
      </c>
      <c r="T349" s="216">
        <f t="shared" si="179"/>
        <v>0</v>
      </c>
      <c r="U349" s="147"/>
      <c r="V349" s="148"/>
      <c r="W349" s="148"/>
      <c r="X349" s="148"/>
      <c r="Y349" s="148"/>
      <c r="Z349" s="148"/>
      <c r="AA349" s="148"/>
      <c r="AB349" s="149"/>
      <c r="AC349" s="150"/>
      <c r="AD349" s="76"/>
      <c r="AE349" s="76"/>
      <c r="AF349" s="128"/>
    </row>
    <row r="350" spans="1:32" outlineLevel="1" x14ac:dyDescent="0.25">
      <c r="A350" s="4" t="s">
        <v>980</v>
      </c>
      <c r="B350" s="75" t="s">
        <v>266</v>
      </c>
      <c r="C350" s="25"/>
      <c r="D350" s="92">
        <v>1</v>
      </c>
      <c r="E350" s="110">
        <v>1200</v>
      </c>
      <c r="F350" s="93">
        <f>D350*E350</f>
        <v>1200</v>
      </c>
      <c r="G350" s="74">
        <f t="shared" si="188"/>
        <v>0</v>
      </c>
      <c r="H350" s="95">
        <f t="shared" si="183"/>
        <v>1200</v>
      </c>
      <c r="I350" s="112">
        <v>1200</v>
      </c>
      <c r="J350" s="57"/>
      <c r="K350" s="57"/>
      <c r="L350" s="57"/>
      <c r="M350" s="57"/>
      <c r="N350" s="57"/>
      <c r="O350" s="57"/>
      <c r="P350" s="68"/>
      <c r="Q350" s="58"/>
      <c r="R350" s="170">
        <v>1695.35</v>
      </c>
      <c r="S350" s="89">
        <f t="shared" si="178"/>
        <v>-1695.35</v>
      </c>
      <c r="T350" s="216">
        <f t="shared" si="179"/>
        <v>0</v>
      </c>
      <c r="U350" s="147"/>
      <c r="V350" s="148"/>
      <c r="W350" s="148"/>
      <c r="X350" s="148"/>
      <c r="Y350" s="148"/>
      <c r="Z350" s="148"/>
      <c r="AA350" s="148"/>
      <c r="AB350" s="149"/>
      <c r="AC350" s="150"/>
      <c r="AD350" s="76"/>
      <c r="AE350" s="76"/>
      <c r="AF350" s="128"/>
    </row>
    <row r="351" spans="1:32" outlineLevel="1" x14ac:dyDescent="0.25">
      <c r="A351" s="4" t="s">
        <v>649</v>
      </c>
      <c r="B351" s="75" t="s">
        <v>271</v>
      </c>
      <c r="C351" s="25"/>
      <c r="D351" s="92">
        <v>1</v>
      </c>
      <c r="E351" s="110">
        <v>450</v>
      </c>
      <c r="F351" s="93">
        <f t="shared" si="193"/>
        <v>450</v>
      </c>
      <c r="G351" s="74">
        <f t="shared" si="188"/>
        <v>0</v>
      </c>
      <c r="H351" s="95">
        <f t="shared" si="183"/>
        <v>450</v>
      </c>
      <c r="I351" s="112">
        <v>450</v>
      </c>
      <c r="J351" s="57"/>
      <c r="K351" s="57"/>
      <c r="L351" s="57"/>
      <c r="M351" s="57"/>
      <c r="N351" s="57"/>
      <c r="O351" s="57"/>
      <c r="P351" s="68"/>
      <c r="Q351" s="58"/>
      <c r="R351" s="170">
        <f t="shared" si="194"/>
        <v>0</v>
      </c>
      <c r="S351" s="89">
        <f t="shared" si="178"/>
        <v>0</v>
      </c>
      <c r="T351" s="216">
        <f t="shared" si="179"/>
        <v>0</v>
      </c>
      <c r="U351" s="147"/>
      <c r="V351" s="148"/>
      <c r="W351" s="148"/>
      <c r="X351" s="148"/>
      <c r="Y351" s="148"/>
      <c r="Z351" s="148"/>
      <c r="AA351" s="148"/>
      <c r="AB351" s="149"/>
      <c r="AC351" s="150"/>
      <c r="AD351" s="76"/>
      <c r="AE351" s="76"/>
      <c r="AF351" s="128"/>
    </row>
    <row r="352" spans="1:32" outlineLevel="1" x14ac:dyDescent="0.25">
      <c r="A352" s="4" t="s">
        <v>650</v>
      </c>
      <c r="B352" s="75" t="s">
        <v>272</v>
      </c>
      <c r="C352" s="25"/>
      <c r="D352" s="92">
        <v>1</v>
      </c>
      <c r="E352" s="110">
        <v>8000</v>
      </c>
      <c r="F352" s="93">
        <f>D352*E352</f>
        <v>8000</v>
      </c>
      <c r="G352" s="74">
        <f t="shared" si="188"/>
        <v>0</v>
      </c>
      <c r="H352" s="95">
        <f t="shared" si="183"/>
        <v>8000</v>
      </c>
      <c r="I352" s="112"/>
      <c r="J352" s="57">
        <v>8000</v>
      </c>
      <c r="K352" s="57"/>
      <c r="L352" s="57"/>
      <c r="M352" s="57"/>
      <c r="N352" s="57"/>
      <c r="O352" s="57"/>
      <c r="P352" s="68"/>
      <c r="Q352" s="58"/>
      <c r="R352" s="170">
        <f>P352*Q352</f>
        <v>0</v>
      </c>
      <c r="S352" s="89">
        <f t="shared" si="178"/>
        <v>0</v>
      </c>
      <c r="T352" s="216">
        <f t="shared" si="179"/>
        <v>0</v>
      </c>
      <c r="U352" s="147"/>
      <c r="V352" s="148"/>
      <c r="W352" s="148"/>
      <c r="X352" s="148"/>
      <c r="Y352" s="148"/>
      <c r="Z352" s="148"/>
      <c r="AA352" s="148"/>
      <c r="AB352" s="149"/>
      <c r="AC352" s="150"/>
      <c r="AD352" s="76"/>
      <c r="AE352" s="76"/>
      <c r="AF352" s="128"/>
    </row>
    <row r="353" spans="1:32" outlineLevel="1" x14ac:dyDescent="0.25">
      <c r="A353" s="4" t="s">
        <v>651</v>
      </c>
      <c r="B353" s="75" t="s">
        <v>961</v>
      </c>
      <c r="C353" s="25"/>
      <c r="D353" s="92">
        <v>1</v>
      </c>
      <c r="E353" s="110">
        <v>2000</v>
      </c>
      <c r="F353" s="93">
        <f>D353*E353</f>
        <v>2000</v>
      </c>
      <c r="G353" s="74">
        <f t="shared" si="188"/>
        <v>0</v>
      </c>
      <c r="H353" s="95">
        <f t="shared" si="183"/>
        <v>2000</v>
      </c>
      <c r="I353" s="112"/>
      <c r="J353" s="57"/>
      <c r="K353" s="57"/>
      <c r="L353" s="57">
        <v>2000</v>
      </c>
      <c r="M353" s="57"/>
      <c r="N353" s="57"/>
      <c r="O353" s="57"/>
      <c r="P353" s="68"/>
      <c r="Q353" s="58"/>
      <c r="R353" s="170">
        <f>P353*Q353</f>
        <v>0</v>
      </c>
      <c r="S353" s="89">
        <f t="shared" si="178"/>
        <v>0</v>
      </c>
      <c r="T353" s="216">
        <f t="shared" si="179"/>
        <v>0</v>
      </c>
      <c r="U353" s="147"/>
      <c r="V353" s="148"/>
      <c r="W353" s="148"/>
      <c r="X353" s="148"/>
      <c r="Y353" s="148"/>
      <c r="Z353" s="148"/>
      <c r="AA353" s="148"/>
      <c r="AB353" s="149"/>
      <c r="AC353" s="150"/>
      <c r="AD353" s="76"/>
      <c r="AE353" s="76"/>
      <c r="AF353" s="128"/>
    </row>
    <row r="354" spans="1:32" outlineLevel="1" x14ac:dyDescent="0.25">
      <c r="A354" s="4" t="s">
        <v>651</v>
      </c>
      <c r="B354" s="75" t="s">
        <v>837</v>
      </c>
      <c r="C354" s="25"/>
      <c r="D354" s="92">
        <v>1</v>
      </c>
      <c r="E354" s="110">
        <v>700</v>
      </c>
      <c r="F354" s="93">
        <f t="shared" si="193"/>
        <v>700</v>
      </c>
      <c r="G354" s="74">
        <f t="shared" si="188"/>
        <v>0</v>
      </c>
      <c r="H354" s="95">
        <f t="shared" si="183"/>
        <v>700</v>
      </c>
      <c r="I354" s="112">
        <v>700</v>
      </c>
      <c r="J354" s="57"/>
      <c r="K354" s="57"/>
      <c r="L354" s="57"/>
      <c r="M354" s="57"/>
      <c r="N354" s="57"/>
      <c r="O354" s="57"/>
      <c r="P354" s="68"/>
      <c r="Q354" s="58"/>
      <c r="R354" s="170">
        <f t="shared" si="194"/>
        <v>0</v>
      </c>
      <c r="S354" s="89">
        <f t="shared" si="178"/>
        <v>0</v>
      </c>
      <c r="T354" s="216">
        <f t="shared" si="179"/>
        <v>0</v>
      </c>
      <c r="U354" s="147"/>
      <c r="V354" s="148"/>
      <c r="W354" s="148"/>
      <c r="X354" s="148"/>
      <c r="Y354" s="148"/>
      <c r="Z354" s="148"/>
      <c r="AA354" s="148"/>
      <c r="AB354" s="149"/>
      <c r="AC354" s="150"/>
      <c r="AD354" s="76"/>
      <c r="AE354" s="76"/>
      <c r="AF354" s="128"/>
    </row>
    <row r="355" spans="1:32" s="3" customFormat="1" ht="15.75" x14ac:dyDescent="0.25">
      <c r="A355" s="7" t="s">
        <v>652</v>
      </c>
      <c r="B355" s="13" t="s">
        <v>495</v>
      </c>
      <c r="C355" s="23"/>
      <c r="D355" s="24"/>
      <c r="E355" s="17"/>
      <c r="F355" s="82">
        <f>SUM(F356:F356)</f>
        <v>16894</v>
      </c>
      <c r="G355" s="89">
        <f t="shared" si="188"/>
        <v>4.9999999999272404E-2</v>
      </c>
      <c r="H355" s="18">
        <f t="shared" si="183"/>
        <v>16894.05</v>
      </c>
      <c r="I355" s="54">
        <f t="shared" ref="I355:AC355" si="195">SUM(I356:I356)</f>
        <v>0</v>
      </c>
      <c r="J355" s="55">
        <f t="shared" si="195"/>
        <v>0</v>
      </c>
      <c r="K355" s="55">
        <f t="shared" si="195"/>
        <v>11337.15</v>
      </c>
      <c r="L355" s="55">
        <f t="shared" si="195"/>
        <v>5556.9</v>
      </c>
      <c r="M355" s="55">
        <f t="shared" si="195"/>
        <v>0</v>
      </c>
      <c r="N355" s="55">
        <f t="shared" si="195"/>
        <v>0</v>
      </c>
      <c r="O355" s="55">
        <f t="shared" si="195"/>
        <v>0</v>
      </c>
      <c r="P355" s="55">
        <f t="shared" si="195"/>
        <v>0</v>
      </c>
      <c r="Q355" s="56">
        <f t="shared" si="195"/>
        <v>0</v>
      </c>
      <c r="R355" s="169">
        <f>SUM(R356:R356)</f>
        <v>0</v>
      </c>
      <c r="S355" s="89">
        <f t="shared" si="178"/>
        <v>0</v>
      </c>
      <c r="T355" s="216">
        <f t="shared" si="179"/>
        <v>0</v>
      </c>
      <c r="U355" s="144">
        <f t="shared" si="195"/>
        <v>0</v>
      </c>
      <c r="V355" s="145">
        <f t="shared" si="195"/>
        <v>0</v>
      </c>
      <c r="W355" s="145">
        <f t="shared" si="195"/>
        <v>0</v>
      </c>
      <c r="X355" s="145">
        <f t="shared" si="195"/>
        <v>0</v>
      </c>
      <c r="Y355" s="145">
        <f t="shared" si="195"/>
        <v>0</v>
      </c>
      <c r="Z355" s="145">
        <f t="shared" si="195"/>
        <v>0</v>
      </c>
      <c r="AA355" s="145">
        <f t="shared" si="195"/>
        <v>0</v>
      </c>
      <c r="AB355" s="145">
        <f t="shared" si="195"/>
        <v>0</v>
      </c>
      <c r="AC355" s="146">
        <f t="shared" si="195"/>
        <v>0</v>
      </c>
      <c r="AD355" s="33">
        <v>17200</v>
      </c>
      <c r="AE355" s="33">
        <v>17200</v>
      </c>
      <c r="AF355" s="127">
        <f>AE355*100/AD355</f>
        <v>100</v>
      </c>
    </row>
    <row r="356" spans="1:32" outlineLevel="1" x14ac:dyDescent="0.25">
      <c r="A356" s="4" t="s">
        <v>653</v>
      </c>
      <c r="B356" s="75" t="s">
        <v>495</v>
      </c>
      <c r="C356" s="25"/>
      <c r="D356" s="92">
        <v>1</v>
      </c>
      <c r="E356" s="110">
        <v>16894</v>
      </c>
      <c r="F356" s="93">
        <f>D356*E356</f>
        <v>16894</v>
      </c>
      <c r="G356" s="74">
        <f t="shared" si="188"/>
        <v>4.9999999999272404E-2</v>
      </c>
      <c r="H356" s="95">
        <f t="shared" si="183"/>
        <v>16894.05</v>
      </c>
      <c r="I356" s="112"/>
      <c r="J356" s="57"/>
      <c r="K356" s="57">
        <f>+(34443+41138)*0.15</f>
        <v>11337.15</v>
      </c>
      <c r="L356" s="57">
        <f>+(4515+32531)*0.15</f>
        <v>5556.9</v>
      </c>
      <c r="M356" s="57"/>
      <c r="N356" s="57"/>
      <c r="O356" s="57"/>
      <c r="P356" s="68"/>
      <c r="Q356" s="58"/>
      <c r="R356" s="170">
        <f>P356*Q356</f>
        <v>0</v>
      </c>
      <c r="S356" s="89">
        <f t="shared" si="178"/>
        <v>0</v>
      </c>
      <c r="T356" s="216">
        <f t="shared" si="179"/>
        <v>0</v>
      </c>
      <c r="U356" s="147"/>
      <c r="V356" s="148"/>
      <c r="W356" s="148"/>
      <c r="X356" s="148"/>
      <c r="Y356" s="148"/>
      <c r="Z356" s="148"/>
      <c r="AA356" s="148"/>
      <c r="AB356" s="149"/>
      <c r="AC356" s="150"/>
      <c r="AD356" s="76"/>
      <c r="AE356" s="76"/>
      <c r="AF356" s="128"/>
    </row>
    <row r="357" spans="1:32" s="2" customFormat="1" ht="21" x14ac:dyDescent="0.35">
      <c r="A357" s="8" t="s">
        <v>307</v>
      </c>
      <c r="B357" s="12" t="s">
        <v>282</v>
      </c>
      <c r="C357" s="21"/>
      <c r="D357" s="22"/>
      <c r="E357" s="15"/>
      <c r="F357" s="84">
        <f>F358+F363+F367+F370+F373+F375</f>
        <v>11318.2</v>
      </c>
      <c r="G357" s="89">
        <f t="shared" si="188"/>
        <v>-0.60499999999956344</v>
      </c>
      <c r="H357" s="16">
        <f t="shared" si="183"/>
        <v>11317.595000000001</v>
      </c>
      <c r="I357" s="51">
        <f t="shared" ref="I357:Q357" si="196">I358+I363+I367+I370+I373+I375</f>
        <v>750</v>
      </c>
      <c r="J357" s="51">
        <f t="shared" si="196"/>
        <v>0</v>
      </c>
      <c r="K357" s="51">
        <f t="shared" si="196"/>
        <v>2287.2550000000001</v>
      </c>
      <c r="L357" s="51">
        <f t="shared" si="196"/>
        <v>8280.34</v>
      </c>
      <c r="M357" s="51">
        <f t="shared" si="196"/>
        <v>0</v>
      </c>
      <c r="N357" s="51">
        <f t="shared" si="196"/>
        <v>0</v>
      </c>
      <c r="O357" s="51">
        <f t="shared" si="196"/>
        <v>0</v>
      </c>
      <c r="P357" s="51">
        <f t="shared" si="196"/>
        <v>0</v>
      </c>
      <c r="Q357" s="59">
        <f t="shared" si="196"/>
        <v>0</v>
      </c>
      <c r="R357" s="168">
        <f>R358+R363+R367+R370+R373+R375</f>
        <v>2133.31</v>
      </c>
      <c r="S357" s="89">
        <f t="shared" si="178"/>
        <v>-2133.31</v>
      </c>
      <c r="T357" s="216">
        <f t="shared" si="179"/>
        <v>0</v>
      </c>
      <c r="U357" s="144">
        <f>U358+U363+U367+U370+U373+U375</f>
        <v>0</v>
      </c>
      <c r="V357" s="144">
        <f t="shared" ref="V357:AC357" si="197">V358+V363+V367+V370+V373+V375</f>
        <v>0</v>
      </c>
      <c r="W357" s="144">
        <f t="shared" si="197"/>
        <v>0</v>
      </c>
      <c r="X357" s="144">
        <f t="shared" si="197"/>
        <v>0</v>
      </c>
      <c r="Y357" s="144">
        <f t="shared" si="197"/>
        <v>0</v>
      </c>
      <c r="Z357" s="144">
        <f t="shared" si="197"/>
        <v>0</v>
      </c>
      <c r="AA357" s="144">
        <f t="shared" si="197"/>
        <v>0</v>
      </c>
      <c r="AB357" s="144">
        <f t="shared" si="197"/>
        <v>0</v>
      </c>
      <c r="AC357" s="151">
        <f t="shared" si="197"/>
        <v>0</v>
      </c>
      <c r="AD357" s="32">
        <f>+AD358+AD363+AD367+AD370+AD373+AD375</f>
        <v>14199</v>
      </c>
      <c r="AE357" s="32">
        <f>AE358+AE363+AE367+AE370+AE373+AE375</f>
        <v>15832.130000000001</v>
      </c>
      <c r="AF357" s="126">
        <f>AE357*100/AD357</f>
        <v>111.5017254736249</v>
      </c>
    </row>
    <row r="358" spans="1:32" s="3" customFormat="1" ht="15.75" x14ac:dyDescent="0.25">
      <c r="A358" s="7" t="s">
        <v>344</v>
      </c>
      <c r="B358" s="13" t="s">
        <v>265</v>
      </c>
      <c r="C358" s="23"/>
      <c r="D358" s="24"/>
      <c r="E358" s="17"/>
      <c r="F358" s="82">
        <f>SUM(F359:F362)</f>
        <v>750</v>
      </c>
      <c r="G358" s="89">
        <f t="shared" si="188"/>
        <v>0</v>
      </c>
      <c r="H358" s="18">
        <f t="shared" si="183"/>
        <v>750</v>
      </c>
      <c r="I358" s="54">
        <f t="shared" ref="I358:Q358" si="198">SUM(I359:I362)</f>
        <v>750</v>
      </c>
      <c r="J358" s="55">
        <f t="shared" si="198"/>
        <v>0</v>
      </c>
      <c r="K358" s="55">
        <f t="shared" si="198"/>
        <v>0</v>
      </c>
      <c r="L358" s="55">
        <f t="shared" si="198"/>
        <v>0</v>
      </c>
      <c r="M358" s="55">
        <f>SUM(M359:M362)</f>
        <v>0</v>
      </c>
      <c r="N358" s="55">
        <f t="shared" si="198"/>
        <v>0</v>
      </c>
      <c r="O358" s="55">
        <f t="shared" si="198"/>
        <v>0</v>
      </c>
      <c r="P358" s="55">
        <f t="shared" si="198"/>
        <v>0</v>
      </c>
      <c r="Q358" s="56">
        <f t="shared" si="198"/>
        <v>0</v>
      </c>
      <c r="R358" s="169">
        <f>SUM(R359:R362)</f>
        <v>0</v>
      </c>
      <c r="S358" s="89">
        <f t="shared" si="178"/>
        <v>0</v>
      </c>
      <c r="T358" s="216">
        <f t="shared" si="179"/>
        <v>0</v>
      </c>
      <c r="U358" s="144">
        <f t="shared" ref="U358:AC358" si="199">SUM(U359:U362)</f>
        <v>0</v>
      </c>
      <c r="V358" s="145">
        <f t="shared" si="199"/>
        <v>0</v>
      </c>
      <c r="W358" s="145">
        <f t="shared" si="199"/>
        <v>0</v>
      </c>
      <c r="X358" s="145">
        <f t="shared" si="199"/>
        <v>0</v>
      </c>
      <c r="Y358" s="145">
        <f t="shared" si="199"/>
        <v>0</v>
      </c>
      <c r="Z358" s="145">
        <f t="shared" si="199"/>
        <v>0</v>
      </c>
      <c r="AA358" s="145">
        <f t="shared" si="199"/>
        <v>0</v>
      </c>
      <c r="AB358" s="145">
        <f t="shared" si="199"/>
        <v>0</v>
      </c>
      <c r="AC358" s="146">
        <f t="shared" si="199"/>
        <v>0</v>
      </c>
      <c r="AD358" s="33">
        <v>500</v>
      </c>
      <c r="AE358" s="33">
        <f>SUM(AE359:AE362)</f>
        <v>0</v>
      </c>
      <c r="AF358" s="127">
        <f>AE358*100/AD358</f>
        <v>0</v>
      </c>
    </row>
    <row r="359" spans="1:32" outlineLevel="1" x14ac:dyDescent="0.25">
      <c r="A359" s="5" t="s">
        <v>345</v>
      </c>
      <c r="B359" s="75" t="s">
        <v>281</v>
      </c>
      <c r="C359" s="25"/>
      <c r="D359" s="92">
        <v>1</v>
      </c>
      <c r="E359" s="110">
        <v>200</v>
      </c>
      <c r="F359" s="93">
        <f>D359*E359</f>
        <v>200</v>
      </c>
      <c r="G359" s="74">
        <f t="shared" si="188"/>
        <v>0</v>
      </c>
      <c r="H359" s="95">
        <f t="shared" si="183"/>
        <v>200</v>
      </c>
      <c r="I359" s="112">
        <v>200</v>
      </c>
      <c r="J359" s="57"/>
      <c r="K359" s="57"/>
      <c r="L359" s="57"/>
      <c r="M359" s="57"/>
      <c r="N359" s="57"/>
      <c r="O359" s="57"/>
      <c r="P359" s="68"/>
      <c r="Q359" s="58"/>
      <c r="R359" s="170">
        <f>P359*Q359</f>
        <v>0</v>
      </c>
      <c r="S359" s="89">
        <f t="shared" si="178"/>
        <v>0</v>
      </c>
      <c r="T359" s="216">
        <f t="shared" si="179"/>
        <v>0</v>
      </c>
      <c r="U359" s="147"/>
      <c r="V359" s="148"/>
      <c r="W359" s="148"/>
      <c r="X359" s="148"/>
      <c r="Y359" s="148"/>
      <c r="Z359" s="148"/>
      <c r="AA359" s="148"/>
      <c r="AB359" s="149"/>
      <c r="AC359" s="150"/>
      <c r="AD359" s="76"/>
      <c r="AE359" s="76"/>
      <c r="AF359" s="128"/>
    </row>
    <row r="360" spans="1:32" outlineLevel="1" x14ac:dyDescent="0.25">
      <c r="A360" s="4" t="s">
        <v>346</v>
      </c>
      <c r="B360" s="75" t="s">
        <v>309</v>
      </c>
      <c r="C360" s="25"/>
      <c r="D360" s="92">
        <v>4</v>
      </c>
      <c r="E360" s="110">
        <v>100</v>
      </c>
      <c r="F360" s="93">
        <f>D360*E360</f>
        <v>400</v>
      </c>
      <c r="G360" s="74">
        <f t="shared" si="188"/>
        <v>0</v>
      </c>
      <c r="H360" s="95">
        <f t="shared" si="183"/>
        <v>400</v>
      </c>
      <c r="I360" s="112">
        <v>400</v>
      </c>
      <c r="J360" s="57"/>
      <c r="K360" s="57"/>
      <c r="L360" s="57"/>
      <c r="M360" s="57"/>
      <c r="N360" s="57"/>
      <c r="O360" s="57"/>
      <c r="P360" s="68"/>
      <c r="Q360" s="58"/>
      <c r="R360" s="170">
        <f>P360*Q360</f>
        <v>0</v>
      </c>
      <c r="S360" s="89">
        <f t="shared" si="178"/>
        <v>0</v>
      </c>
      <c r="T360" s="216">
        <f t="shared" si="179"/>
        <v>0</v>
      </c>
      <c r="U360" s="147"/>
      <c r="V360" s="148"/>
      <c r="W360" s="148"/>
      <c r="X360" s="148"/>
      <c r="Y360" s="148"/>
      <c r="Z360" s="148"/>
      <c r="AA360" s="148"/>
      <c r="AB360" s="149"/>
      <c r="AC360" s="150"/>
      <c r="AD360" s="76"/>
      <c r="AE360" s="76"/>
      <c r="AF360" s="128"/>
    </row>
    <row r="361" spans="1:32" outlineLevel="1" x14ac:dyDescent="0.25">
      <c r="A361" s="4" t="s">
        <v>347</v>
      </c>
      <c r="B361" s="75" t="s">
        <v>285</v>
      </c>
      <c r="C361" s="25"/>
      <c r="D361" s="92">
        <v>3</v>
      </c>
      <c r="E361" s="110">
        <v>50</v>
      </c>
      <c r="F361" s="93">
        <f>D361*E361</f>
        <v>150</v>
      </c>
      <c r="G361" s="74">
        <f t="shared" si="188"/>
        <v>0</v>
      </c>
      <c r="H361" s="95">
        <f t="shared" si="183"/>
        <v>150</v>
      </c>
      <c r="I361" s="112">
        <v>150</v>
      </c>
      <c r="J361" s="57"/>
      <c r="K361" s="57"/>
      <c r="L361" s="57"/>
      <c r="M361" s="57"/>
      <c r="N361" s="57"/>
      <c r="O361" s="57"/>
      <c r="P361" s="68"/>
      <c r="Q361" s="58"/>
      <c r="R361" s="170">
        <f>P361*Q361</f>
        <v>0</v>
      </c>
      <c r="S361" s="89">
        <f t="shared" si="178"/>
        <v>0</v>
      </c>
      <c r="T361" s="216">
        <f t="shared" si="179"/>
        <v>0</v>
      </c>
      <c r="U361" s="147"/>
      <c r="V361" s="148"/>
      <c r="W361" s="148"/>
      <c r="X361" s="148"/>
      <c r="Y361" s="148"/>
      <c r="Z361" s="148"/>
      <c r="AA361" s="148"/>
      <c r="AB361" s="149"/>
      <c r="AC361" s="150"/>
      <c r="AD361" s="76"/>
      <c r="AE361" s="76"/>
      <c r="AF361" s="128"/>
    </row>
    <row r="362" spans="1:32" outlineLevel="1" x14ac:dyDescent="0.25">
      <c r="A362" s="4" t="s">
        <v>348</v>
      </c>
      <c r="B362" s="75" t="s">
        <v>47</v>
      </c>
      <c r="C362" s="25"/>
      <c r="D362" s="92">
        <v>0</v>
      </c>
      <c r="E362" s="110">
        <v>0</v>
      </c>
      <c r="F362" s="93">
        <f>D362*E362</f>
        <v>0</v>
      </c>
      <c r="G362" s="74">
        <f t="shared" si="188"/>
        <v>0</v>
      </c>
      <c r="H362" s="95">
        <f t="shared" si="183"/>
        <v>0</v>
      </c>
      <c r="I362" s="112">
        <f>F362</f>
        <v>0</v>
      </c>
      <c r="J362" s="57"/>
      <c r="K362" s="57"/>
      <c r="L362" s="57"/>
      <c r="M362" s="57"/>
      <c r="N362" s="57"/>
      <c r="O362" s="57"/>
      <c r="P362" s="68"/>
      <c r="Q362" s="58"/>
      <c r="R362" s="170">
        <f>P362*Q362</f>
        <v>0</v>
      </c>
      <c r="S362" s="89">
        <f t="shared" si="178"/>
        <v>0</v>
      </c>
      <c r="T362" s="216">
        <f t="shared" si="179"/>
        <v>0</v>
      </c>
      <c r="U362" s="147"/>
      <c r="V362" s="148"/>
      <c r="W362" s="148"/>
      <c r="X362" s="148"/>
      <c r="Y362" s="148"/>
      <c r="Z362" s="148"/>
      <c r="AA362" s="148"/>
      <c r="AB362" s="149"/>
      <c r="AC362" s="150"/>
      <c r="AD362" s="76"/>
      <c r="AE362" s="76"/>
      <c r="AF362" s="128"/>
    </row>
    <row r="363" spans="1:32" s="3" customFormat="1" ht="15.75" x14ac:dyDescent="0.25">
      <c r="A363" s="7" t="s">
        <v>349</v>
      </c>
      <c r="B363" s="13" t="s">
        <v>248</v>
      </c>
      <c r="C363" s="23"/>
      <c r="D363" s="24"/>
      <c r="E363" s="17"/>
      <c r="F363" s="82">
        <f>SUM(F364:F366)</f>
        <v>0</v>
      </c>
      <c r="G363" s="89">
        <f t="shared" si="188"/>
        <v>0</v>
      </c>
      <c r="H363" s="18">
        <f t="shared" si="183"/>
        <v>0</v>
      </c>
      <c r="I363" s="54">
        <f t="shared" ref="I363:Q363" si="200">SUM(I364:I366)</f>
        <v>0</v>
      </c>
      <c r="J363" s="55">
        <f t="shared" si="200"/>
        <v>0</v>
      </c>
      <c r="K363" s="55">
        <f t="shared" si="200"/>
        <v>0</v>
      </c>
      <c r="L363" s="55">
        <f t="shared" si="200"/>
        <v>0</v>
      </c>
      <c r="M363" s="55">
        <f t="shared" si="200"/>
        <v>0</v>
      </c>
      <c r="N363" s="55">
        <f t="shared" si="200"/>
        <v>0</v>
      </c>
      <c r="O363" s="55">
        <f t="shared" si="200"/>
        <v>0</v>
      </c>
      <c r="P363" s="55">
        <f t="shared" si="200"/>
        <v>0</v>
      </c>
      <c r="Q363" s="56">
        <f t="shared" si="200"/>
        <v>0</v>
      </c>
      <c r="R363" s="169">
        <f>SUM(R364:R366)</f>
        <v>0</v>
      </c>
      <c r="S363" s="89">
        <f t="shared" si="178"/>
        <v>0</v>
      </c>
      <c r="T363" s="216">
        <f t="shared" si="179"/>
        <v>0</v>
      </c>
      <c r="U363" s="144">
        <f>SUM(U364:U366)</f>
        <v>0</v>
      </c>
      <c r="V363" s="145">
        <f t="shared" ref="V363:AC363" si="201">SUM(V364:V366)</f>
        <v>0</v>
      </c>
      <c r="W363" s="145">
        <f t="shared" si="201"/>
        <v>0</v>
      </c>
      <c r="X363" s="145">
        <f t="shared" si="201"/>
        <v>0</v>
      </c>
      <c r="Y363" s="145">
        <f t="shared" si="201"/>
        <v>0</v>
      </c>
      <c r="Z363" s="145">
        <f t="shared" si="201"/>
        <v>0</v>
      </c>
      <c r="AA363" s="145">
        <f t="shared" si="201"/>
        <v>0</v>
      </c>
      <c r="AB363" s="145">
        <f t="shared" si="201"/>
        <v>0</v>
      </c>
      <c r="AC363" s="146">
        <f t="shared" si="201"/>
        <v>0</v>
      </c>
      <c r="AD363" s="33">
        <v>0</v>
      </c>
      <c r="AE363" s="33">
        <f>SUM(AE364:AE366)</f>
        <v>0</v>
      </c>
      <c r="AF363" s="127"/>
    </row>
    <row r="364" spans="1:32" outlineLevel="1" x14ac:dyDescent="0.25">
      <c r="A364" s="4" t="s">
        <v>350</v>
      </c>
      <c r="B364" s="75" t="s">
        <v>287</v>
      </c>
      <c r="C364" s="25"/>
      <c r="D364" s="92"/>
      <c r="E364" s="110"/>
      <c r="F364" s="93">
        <f>D364*E364</f>
        <v>0</v>
      </c>
      <c r="G364" s="74">
        <f t="shared" si="188"/>
        <v>0</v>
      </c>
      <c r="H364" s="95">
        <f t="shared" si="183"/>
        <v>0</v>
      </c>
      <c r="I364" s="112"/>
      <c r="J364" s="57"/>
      <c r="K364" s="57"/>
      <c r="L364" s="57"/>
      <c r="M364" s="57"/>
      <c r="N364" s="57"/>
      <c r="O364" s="57"/>
      <c r="P364" s="68"/>
      <c r="Q364" s="58"/>
      <c r="R364" s="170">
        <f>P364*Q364</f>
        <v>0</v>
      </c>
      <c r="S364" s="89">
        <f t="shared" si="178"/>
        <v>0</v>
      </c>
      <c r="T364" s="216">
        <f t="shared" si="179"/>
        <v>0</v>
      </c>
      <c r="U364" s="147"/>
      <c r="V364" s="148"/>
      <c r="W364" s="148"/>
      <c r="X364" s="148"/>
      <c r="Y364" s="148"/>
      <c r="Z364" s="148"/>
      <c r="AA364" s="148"/>
      <c r="AB364" s="149"/>
      <c r="AC364" s="150"/>
      <c r="AD364" s="76"/>
      <c r="AE364" s="76"/>
      <c r="AF364" s="128"/>
    </row>
    <row r="365" spans="1:32" outlineLevel="1" x14ac:dyDescent="0.25">
      <c r="A365" s="4" t="s">
        <v>351</v>
      </c>
      <c r="B365" s="75" t="s">
        <v>288</v>
      </c>
      <c r="C365" s="25"/>
      <c r="D365" s="92"/>
      <c r="E365" s="110"/>
      <c r="F365" s="93">
        <f>D365*E365</f>
        <v>0</v>
      </c>
      <c r="G365" s="74">
        <f t="shared" si="188"/>
        <v>0</v>
      </c>
      <c r="H365" s="95">
        <f t="shared" si="183"/>
        <v>0</v>
      </c>
      <c r="I365" s="112"/>
      <c r="J365" s="57"/>
      <c r="K365" s="57"/>
      <c r="L365" s="57"/>
      <c r="M365" s="57"/>
      <c r="N365" s="57"/>
      <c r="O365" s="57"/>
      <c r="P365" s="68"/>
      <c r="Q365" s="58"/>
      <c r="R365" s="170">
        <f>P365*Q365</f>
        <v>0</v>
      </c>
      <c r="S365" s="89">
        <f t="shared" si="178"/>
        <v>0</v>
      </c>
      <c r="T365" s="216">
        <f t="shared" si="179"/>
        <v>0</v>
      </c>
      <c r="U365" s="147"/>
      <c r="V365" s="148"/>
      <c r="W365" s="148"/>
      <c r="X365" s="148"/>
      <c r="Y365" s="148"/>
      <c r="Z365" s="148"/>
      <c r="AA365" s="148"/>
      <c r="AB365" s="149"/>
      <c r="AC365" s="150"/>
      <c r="AD365" s="76"/>
      <c r="AE365" s="76"/>
      <c r="AF365" s="128"/>
    </row>
    <row r="366" spans="1:32" outlineLevel="1" x14ac:dyDescent="0.25">
      <c r="A366" s="4" t="s">
        <v>352</v>
      </c>
      <c r="B366" s="75" t="s">
        <v>47</v>
      </c>
      <c r="C366" s="25"/>
      <c r="D366" s="92"/>
      <c r="E366" s="110"/>
      <c r="F366" s="93">
        <f>D366*E366</f>
        <v>0</v>
      </c>
      <c r="G366" s="74">
        <f t="shared" si="188"/>
        <v>0</v>
      </c>
      <c r="H366" s="95">
        <f t="shared" si="183"/>
        <v>0</v>
      </c>
      <c r="I366" s="112"/>
      <c r="J366" s="57"/>
      <c r="K366" s="57"/>
      <c r="L366" s="57"/>
      <c r="M366" s="57"/>
      <c r="N366" s="57"/>
      <c r="O366" s="57"/>
      <c r="P366" s="68"/>
      <c r="Q366" s="58"/>
      <c r="R366" s="170">
        <f>P366*Q366</f>
        <v>0</v>
      </c>
      <c r="S366" s="89">
        <f t="shared" si="178"/>
        <v>0</v>
      </c>
      <c r="T366" s="216">
        <f t="shared" si="179"/>
        <v>0</v>
      </c>
      <c r="U366" s="147"/>
      <c r="V366" s="148"/>
      <c r="W366" s="148"/>
      <c r="X366" s="148"/>
      <c r="Y366" s="148"/>
      <c r="Z366" s="148"/>
      <c r="AA366" s="148"/>
      <c r="AB366" s="149"/>
      <c r="AC366" s="150"/>
      <c r="AD366" s="76"/>
      <c r="AE366" s="76"/>
      <c r="AF366" s="128"/>
    </row>
    <row r="367" spans="1:32" s="3" customFormat="1" ht="15.75" x14ac:dyDescent="0.25">
      <c r="A367" s="7" t="s">
        <v>353</v>
      </c>
      <c r="B367" s="13" t="s">
        <v>700</v>
      </c>
      <c r="C367" s="23"/>
      <c r="D367" s="24"/>
      <c r="E367" s="17"/>
      <c r="F367" s="82">
        <f>SUM(F368:F369)</f>
        <v>5601</v>
      </c>
      <c r="G367" s="89">
        <f t="shared" si="188"/>
        <v>-0.125</v>
      </c>
      <c r="H367" s="18">
        <f t="shared" si="183"/>
        <v>5600.875</v>
      </c>
      <c r="I367" s="54">
        <f t="shared" ref="I367:Q367" si="202">SUM(I368:I369)</f>
        <v>0</v>
      </c>
      <c r="J367" s="55">
        <f t="shared" si="202"/>
        <v>0</v>
      </c>
      <c r="K367" s="55">
        <f t="shared" si="202"/>
        <v>1869.2049999999999</v>
      </c>
      <c r="L367" s="55">
        <f t="shared" si="202"/>
        <v>3731.6699999999996</v>
      </c>
      <c r="M367" s="55">
        <f t="shared" si="202"/>
        <v>0</v>
      </c>
      <c r="N367" s="55">
        <f t="shared" si="202"/>
        <v>0</v>
      </c>
      <c r="O367" s="55">
        <f t="shared" si="202"/>
        <v>0</v>
      </c>
      <c r="P367" s="55">
        <f t="shared" si="202"/>
        <v>0</v>
      </c>
      <c r="Q367" s="56">
        <f t="shared" si="202"/>
        <v>0</v>
      </c>
      <c r="R367" s="169">
        <f>SUM(R368:R369)</f>
        <v>522.23</v>
      </c>
      <c r="S367" s="89">
        <f t="shared" si="178"/>
        <v>-522.23</v>
      </c>
      <c r="T367" s="216">
        <f t="shared" si="179"/>
        <v>0</v>
      </c>
      <c r="U367" s="144">
        <f>SUM(U368:U369)</f>
        <v>0</v>
      </c>
      <c r="V367" s="145">
        <f t="shared" ref="V367:AC367" si="203">SUM(V368:V369)</f>
        <v>0</v>
      </c>
      <c r="W367" s="145">
        <f t="shared" si="203"/>
        <v>0</v>
      </c>
      <c r="X367" s="145">
        <f t="shared" si="203"/>
        <v>0</v>
      </c>
      <c r="Y367" s="145">
        <f t="shared" si="203"/>
        <v>0</v>
      </c>
      <c r="Z367" s="145">
        <f t="shared" si="203"/>
        <v>0</v>
      </c>
      <c r="AA367" s="145">
        <f t="shared" si="203"/>
        <v>0</v>
      </c>
      <c r="AB367" s="145">
        <f t="shared" si="203"/>
        <v>0</v>
      </c>
      <c r="AC367" s="146">
        <f t="shared" si="203"/>
        <v>0</v>
      </c>
      <c r="AD367" s="33">
        <v>7160</v>
      </c>
      <c r="AE367" s="33">
        <f>10148.6-1821.8+650</f>
        <v>8976.8000000000011</v>
      </c>
      <c r="AF367" s="127">
        <f>AE367*100/AD367</f>
        <v>125.37430167597768</v>
      </c>
    </row>
    <row r="368" spans="1:32" outlineLevel="1" x14ac:dyDescent="0.25">
      <c r="A368" s="4" t="s">
        <v>354</v>
      </c>
      <c r="B368" s="75" t="s">
        <v>862</v>
      </c>
      <c r="C368" s="25"/>
      <c r="D368" s="92">
        <v>1</v>
      </c>
      <c r="E368" s="110">
        <f>6101-500</f>
        <v>5601</v>
      </c>
      <c r="F368" s="93">
        <f>D368*E368</f>
        <v>5601</v>
      </c>
      <c r="G368" s="74">
        <f t="shared" si="188"/>
        <v>-0.125</v>
      </c>
      <c r="H368" s="95">
        <f t="shared" si="183"/>
        <v>5600.875</v>
      </c>
      <c r="I368" s="112"/>
      <c r="J368" s="57"/>
      <c r="K368" s="57">
        <f>2934*0.95*0.85-500</f>
        <v>1869.2049999999999</v>
      </c>
      <c r="L368" s="57">
        <f>4878*0.9*0.85</f>
        <v>3731.6699999999996</v>
      </c>
      <c r="M368" s="57"/>
      <c r="N368" s="57"/>
      <c r="O368" s="57"/>
      <c r="P368" s="68"/>
      <c r="Q368" s="58"/>
      <c r="R368" s="170">
        <v>522.23</v>
      </c>
      <c r="S368" s="89">
        <f t="shared" si="178"/>
        <v>-522.23</v>
      </c>
      <c r="T368" s="216">
        <f t="shared" si="179"/>
        <v>0</v>
      </c>
      <c r="U368" s="147"/>
      <c r="V368" s="148"/>
      <c r="W368" s="148"/>
      <c r="X368" s="148"/>
      <c r="Y368" s="148"/>
      <c r="Z368" s="148"/>
      <c r="AA368" s="148"/>
      <c r="AB368" s="149"/>
      <c r="AC368" s="150"/>
      <c r="AD368" s="76"/>
      <c r="AE368" s="76"/>
      <c r="AF368" s="128"/>
    </row>
    <row r="369" spans="1:32" outlineLevel="1" x14ac:dyDescent="0.25">
      <c r="A369" s="4" t="s">
        <v>355</v>
      </c>
      <c r="B369" s="75" t="s">
        <v>47</v>
      </c>
      <c r="C369" s="25"/>
      <c r="D369" s="92"/>
      <c r="E369" s="110"/>
      <c r="F369" s="93">
        <f>D369*E369</f>
        <v>0</v>
      </c>
      <c r="G369" s="74">
        <f t="shared" si="188"/>
        <v>0</v>
      </c>
      <c r="H369" s="95">
        <f t="shared" si="183"/>
        <v>0</v>
      </c>
      <c r="I369" s="112"/>
      <c r="J369" s="57"/>
      <c r="K369" s="57"/>
      <c r="L369" s="57"/>
      <c r="M369" s="57"/>
      <c r="N369" s="57"/>
      <c r="O369" s="57"/>
      <c r="P369" s="68"/>
      <c r="Q369" s="58"/>
      <c r="R369" s="170">
        <f>P369*Q369</f>
        <v>0</v>
      </c>
      <c r="S369" s="89">
        <f t="shared" si="178"/>
        <v>0</v>
      </c>
      <c r="T369" s="216">
        <f t="shared" si="179"/>
        <v>0</v>
      </c>
      <c r="U369" s="147"/>
      <c r="V369" s="148"/>
      <c r="W369" s="148"/>
      <c r="X369" s="148"/>
      <c r="Y369" s="148"/>
      <c r="Z369" s="148"/>
      <c r="AA369" s="148"/>
      <c r="AB369" s="149"/>
      <c r="AC369" s="150"/>
      <c r="AD369" s="76"/>
      <c r="AE369" s="76"/>
      <c r="AF369" s="128"/>
    </row>
    <row r="370" spans="1:32" s="3" customFormat="1" ht="15.75" x14ac:dyDescent="0.25">
      <c r="A370" s="7" t="s">
        <v>356</v>
      </c>
      <c r="B370" s="13" t="s">
        <v>701</v>
      </c>
      <c r="C370" s="23"/>
      <c r="D370" s="24"/>
      <c r="E370" s="17"/>
      <c r="F370" s="82">
        <f>SUM(F371:F372)</f>
        <v>3232</v>
      </c>
      <c r="G370" s="89">
        <f t="shared" si="188"/>
        <v>-0.33000000000038199</v>
      </c>
      <c r="H370" s="18">
        <f t="shared" si="183"/>
        <v>3231.6699999999996</v>
      </c>
      <c r="I370" s="54">
        <f t="shared" ref="I370:Q370" si="204">SUM(I371:I372)</f>
        <v>0</v>
      </c>
      <c r="J370" s="55">
        <f t="shared" si="204"/>
        <v>0</v>
      </c>
      <c r="K370" s="55">
        <f t="shared" si="204"/>
        <v>0</v>
      </c>
      <c r="L370" s="55">
        <f t="shared" si="204"/>
        <v>3231.6699999999996</v>
      </c>
      <c r="M370" s="55">
        <f t="shared" si="204"/>
        <v>0</v>
      </c>
      <c r="N370" s="55">
        <f t="shared" si="204"/>
        <v>0</v>
      </c>
      <c r="O370" s="55">
        <f t="shared" si="204"/>
        <v>0</v>
      </c>
      <c r="P370" s="55">
        <f t="shared" si="204"/>
        <v>0</v>
      </c>
      <c r="Q370" s="56">
        <f t="shared" si="204"/>
        <v>0</v>
      </c>
      <c r="R370" s="169">
        <f>SUM(R371:R372)</f>
        <v>1492.5</v>
      </c>
      <c r="S370" s="89">
        <f t="shared" si="178"/>
        <v>-1492.5</v>
      </c>
      <c r="T370" s="216">
        <f t="shared" si="179"/>
        <v>0</v>
      </c>
      <c r="U370" s="144">
        <f>SUM(U371:U372)</f>
        <v>0</v>
      </c>
      <c r="V370" s="145">
        <f t="shared" ref="V370:AC370" si="205">SUM(V371:V372)</f>
        <v>0</v>
      </c>
      <c r="W370" s="145">
        <f t="shared" si="205"/>
        <v>0</v>
      </c>
      <c r="X370" s="145">
        <f t="shared" si="205"/>
        <v>0</v>
      </c>
      <c r="Y370" s="145">
        <f t="shared" si="205"/>
        <v>0</v>
      </c>
      <c r="Z370" s="145">
        <f t="shared" si="205"/>
        <v>0</v>
      </c>
      <c r="AA370" s="145">
        <f t="shared" si="205"/>
        <v>0</v>
      </c>
      <c r="AB370" s="145">
        <f t="shared" si="205"/>
        <v>0</v>
      </c>
      <c r="AC370" s="146">
        <f t="shared" si="205"/>
        <v>0</v>
      </c>
      <c r="AD370" s="33">
        <v>4635</v>
      </c>
      <c r="AE370" s="33">
        <f>5683.53-731.71</f>
        <v>4951.82</v>
      </c>
      <c r="AF370" s="127">
        <f>AE370*100/AD370</f>
        <v>106.83538295577131</v>
      </c>
    </row>
    <row r="371" spans="1:32" outlineLevel="1" x14ac:dyDescent="0.25">
      <c r="A371" s="4" t="s">
        <v>357</v>
      </c>
      <c r="B371" s="75" t="s">
        <v>862</v>
      </c>
      <c r="C371" s="25"/>
      <c r="D371" s="92">
        <v>1</v>
      </c>
      <c r="E371" s="110">
        <f>3732-500</f>
        <v>3232</v>
      </c>
      <c r="F371" s="93">
        <f>D371*E371</f>
        <v>3232</v>
      </c>
      <c r="G371" s="74">
        <f t="shared" si="188"/>
        <v>-0.33000000000038199</v>
      </c>
      <c r="H371" s="95">
        <f t="shared" si="183"/>
        <v>3231.6699999999996</v>
      </c>
      <c r="I371" s="112"/>
      <c r="J371" s="57"/>
      <c r="K371" s="57"/>
      <c r="L371" s="57">
        <f>4878*0.9*0.85-500</f>
        <v>3231.6699999999996</v>
      </c>
      <c r="M371" s="57"/>
      <c r="N371" s="57"/>
      <c r="O371" s="57"/>
      <c r="P371" s="68"/>
      <c r="Q371" s="58"/>
      <c r="R371" s="170">
        <v>1492.5</v>
      </c>
      <c r="S371" s="89">
        <f t="shared" si="178"/>
        <v>-1492.5</v>
      </c>
      <c r="T371" s="216">
        <f t="shared" si="179"/>
        <v>0</v>
      </c>
      <c r="U371" s="147"/>
      <c r="V371" s="148"/>
      <c r="W371" s="148"/>
      <c r="X371" s="148"/>
      <c r="Y371" s="148"/>
      <c r="Z371" s="148"/>
      <c r="AA371" s="148"/>
      <c r="AB371" s="149"/>
      <c r="AC371" s="150"/>
      <c r="AD371" s="76"/>
      <c r="AE371" s="76"/>
      <c r="AF371" s="128"/>
    </row>
    <row r="372" spans="1:32" outlineLevel="1" x14ac:dyDescent="0.25">
      <c r="A372" s="6" t="s">
        <v>358</v>
      </c>
      <c r="B372" s="75" t="s">
        <v>47</v>
      </c>
      <c r="C372" s="25"/>
      <c r="D372" s="92"/>
      <c r="E372" s="110"/>
      <c r="F372" s="93">
        <f>D372*E372</f>
        <v>0</v>
      </c>
      <c r="G372" s="74">
        <f t="shared" si="188"/>
        <v>0</v>
      </c>
      <c r="H372" s="95">
        <f t="shared" si="183"/>
        <v>0</v>
      </c>
      <c r="I372" s="112"/>
      <c r="J372" s="57"/>
      <c r="K372" s="57"/>
      <c r="L372" s="57"/>
      <c r="M372" s="57"/>
      <c r="N372" s="57"/>
      <c r="O372" s="57"/>
      <c r="P372" s="68"/>
      <c r="Q372" s="58"/>
      <c r="R372" s="170">
        <f>P372*Q372</f>
        <v>0</v>
      </c>
      <c r="S372" s="89">
        <f t="shared" si="178"/>
        <v>0</v>
      </c>
      <c r="T372" s="216">
        <f t="shared" si="179"/>
        <v>0</v>
      </c>
      <c r="U372" s="147"/>
      <c r="V372" s="148"/>
      <c r="W372" s="148"/>
      <c r="X372" s="148"/>
      <c r="Y372" s="148"/>
      <c r="Z372" s="148"/>
      <c r="AA372" s="148"/>
      <c r="AB372" s="149"/>
      <c r="AC372" s="150"/>
      <c r="AD372" s="76"/>
      <c r="AE372" s="76"/>
      <c r="AF372" s="128"/>
    </row>
    <row r="373" spans="1:32" s="3" customFormat="1" ht="15.75" x14ac:dyDescent="0.25">
      <c r="A373" s="7" t="s">
        <v>360</v>
      </c>
      <c r="B373" s="13" t="s">
        <v>250</v>
      </c>
      <c r="C373" s="23"/>
      <c r="D373" s="24"/>
      <c r="E373" s="17"/>
      <c r="F373" s="82">
        <f>SUM(F374:F374)</f>
        <v>0</v>
      </c>
      <c r="G373" s="89">
        <f t="shared" si="188"/>
        <v>0</v>
      </c>
      <c r="H373" s="18">
        <f t="shared" si="183"/>
        <v>0</v>
      </c>
      <c r="I373" s="54">
        <f t="shared" ref="I373:AC373" si="206">SUM(I374:I374)</f>
        <v>0</v>
      </c>
      <c r="J373" s="55">
        <f t="shared" si="206"/>
        <v>0</v>
      </c>
      <c r="K373" s="55">
        <f t="shared" si="206"/>
        <v>0</v>
      </c>
      <c r="L373" s="55">
        <f t="shared" si="206"/>
        <v>0</v>
      </c>
      <c r="M373" s="55">
        <f t="shared" si="206"/>
        <v>0</v>
      </c>
      <c r="N373" s="55">
        <f t="shared" si="206"/>
        <v>0</v>
      </c>
      <c r="O373" s="55">
        <f t="shared" si="206"/>
        <v>0</v>
      </c>
      <c r="P373" s="55">
        <f t="shared" si="206"/>
        <v>0</v>
      </c>
      <c r="Q373" s="56">
        <f t="shared" si="206"/>
        <v>0</v>
      </c>
      <c r="R373" s="169">
        <f>SUM(R374:R374)</f>
        <v>118.58</v>
      </c>
      <c r="S373" s="89">
        <f t="shared" si="178"/>
        <v>-118.58</v>
      </c>
      <c r="T373" s="216">
        <f t="shared" si="179"/>
        <v>0</v>
      </c>
      <c r="U373" s="144">
        <f t="shared" si="206"/>
        <v>0</v>
      </c>
      <c r="V373" s="145">
        <f t="shared" si="206"/>
        <v>0</v>
      </c>
      <c r="W373" s="145">
        <f t="shared" si="206"/>
        <v>0</v>
      </c>
      <c r="X373" s="145">
        <f t="shared" si="206"/>
        <v>0</v>
      </c>
      <c r="Y373" s="145">
        <f t="shared" si="206"/>
        <v>0</v>
      </c>
      <c r="Z373" s="145">
        <f t="shared" si="206"/>
        <v>0</v>
      </c>
      <c r="AA373" s="145">
        <f t="shared" si="206"/>
        <v>0</v>
      </c>
      <c r="AB373" s="145">
        <f t="shared" si="206"/>
        <v>0</v>
      </c>
      <c r="AC373" s="146">
        <f t="shared" si="206"/>
        <v>0</v>
      </c>
      <c r="AD373" s="33">
        <v>0</v>
      </c>
      <c r="AE373" s="33">
        <f>SUM(AE374:AE374)</f>
        <v>0</v>
      </c>
      <c r="AF373" s="127"/>
    </row>
    <row r="374" spans="1:32" outlineLevel="1" x14ac:dyDescent="0.25">
      <c r="A374" s="4" t="s">
        <v>361</v>
      </c>
      <c r="B374" s="75" t="s">
        <v>47</v>
      </c>
      <c r="C374" s="25"/>
      <c r="D374" s="92"/>
      <c r="E374" s="110"/>
      <c r="F374" s="93">
        <f>D374*E374</f>
        <v>0</v>
      </c>
      <c r="G374" s="74">
        <f t="shared" si="188"/>
        <v>0</v>
      </c>
      <c r="H374" s="95">
        <f t="shared" si="183"/>
        <v>0</v>
      </c>
      <c r="I374" s="112"/>
      <c r="J374" s="57"/>
      <c r="K374" s="57"/>
      <c r="L374" s="57"/>
      <c r="M374" s="57"/>
      <c r="N374" s="57"/>
      <c r="O374" s="57"/>
      <c r="P374" s="68"/>
      <c r="Q374" s="58"/>
      <c r="R374" s="170">
        <v>118.58</v>
      </c>
      <c r="S374" s="89">
        <f t="shared" si="178"/>
        <v>-118.58</v>
      </c>
      <c r="T374" s="216">
        <f t="shared" si="179"/>
        <v>0</v>
      </c>
      <c r="U374" s="147"/>
      <c r="V374" s="148"/>
      <c r="W374" s="148"/>
      <c r="X374" s="148"/>
      <c r="Y374" s="148"/>
      <c r="Z374" s="148"/>
      <c r="AA374" s="148"/>
      <c r="AB374" s="149"/>
      <c r="AC374" s="150"/>
      <c r="AD374" s="76"/>
      <c r="AE374" s="76"/>
      <c r="AF374" s="128"/>
    </row>
    <row r="375" spans="1:32" s="3" customFormat="1" ht="15.75" x14ac:dyDescent="0.25">
      <c r="A375" s="7" t="s">
        <v>654</v>
      </c>
      <c r="B375" s="13" t="s">
        <v>495</v>
      </c>
      <c r="C375" s="23"/>
      <c r="D375" s="24"/>
      <c r="E375" s="17"/>
      <c r="F375" s="82">
        <f>SUM(F376:F376)</f>
        <v>1735.2</v>
      </c>
      <c r="G375" s="89">
        <f t="shared" si="188"/>
        <v>-0.15000000000009095</v>
      </c>
      <c r="H375" s="18">
        <f t="shared" si="183"/>
        <v>1735.05</v>
      </c>
      <c r="I375" s="54">
        <f t="shared" ref="I375:AC375" si="207">SUM(I376:I376)</f>
        <v>0</v>
      </c>
      <c r="J375" s="55">
        <f t="shared" si="207"/>
        <v>0</v>
      </c>
      <c r="K375" s="55">
        <f t="shared" si="207"/>
        <v>418.05</v>
      </c>
      <c r="L375" s="55">
        <f t="shared" si="207"/>
        <v>1317</v>
      </c>
      <c r="M375" s="55">
        <f t="shared" si="207"/>
        <v>0</v>
      </c>
      <c r="N375" s="55">
        <f t="shared" si="207"/>
        <v>0</v>
      </c>
      <c r="O375" s="55">
        <f t="shared" si="207"/>
        <v>0</v>
      </c>
      <c r="P375" s="55">
        <f t="shared" si="207"/>
        <v>0</v>
      </c>
      <c r="Q375" s="56">
        <f t="shared" si="207"/>
        <v>0</v>
      </c>
      <c r="R375" s="169">
        <f>SUM(R376:R376)</f>
        <v>0</v>
      </c>
      <c r="S375" s="89">
        <f t="shared" si="178"/>
        <v>0</v>
      </c>
      <c r="T375" s="216">
        <f t="shared" si="179"/>
        <v>0</v>
      </c>
      <c r="U375" s="144">
        <f t="shared" si="207"/>
        <v>0</v>
      </c>
      <c r="V375" s="145">
        <f t="shared" si="207"/>
        <v>0</v>
      </c>
      <c r="W375" s="145">
        <f t="shared" si="207"/>
        <v>0</v>
      </c>
      <c r="X375" s="145">
        <f t="shared" si="207"/>
        <v>0</v>
      </c>
      <c r="Y375" s="145">
        <f t="shared" si="207"/>
        <v>0</v>
      </c>
      <c r="Z375" s="145">
        <f t="shared" si="207"/>
        <v>0</v>
      </c>
      <c r="AA375" s="145">
        <f t="shared" si="207"/>
        <v>0</v>
      </c>
      <c r="AB375" s="145">
        <f t="shared" si="207"/>
        <v>0</v>
      </c>
      <c r="AC375" s="146">
        <f t="shared" si="207"/>
        <v>0</v>
      </c>
      <c r="AD375" s="33">
        <v>1904</v>
      </c>
      <c r="AE375" s="33">
        <f>1821.8+731.71-650</f>
        <v>1903.5100000000002</v>
      </c>
      <c r="AF375" s="127">
        <f>AE375*100/AD375</f>
        <v>99.974264705882362</v>
      </c>
    </row>
    <row r="376" spans="1:32" outlineLevel="1" x14ac:dyDescent="0.25">
      <c r="A376" s="4" t="s">
        <v>655</v>
      </c>
      <c r="B376" s="75" t="s">
        <v>495</v>
      </c>
      <c r="C376" s="25"/>
      <c r="D376" s="92">
        <v>1</v>
      </c>
      <c r="E376" s="110">
        <f>11568*0.15</f>
        <v>1735.2</v>
      </c>
      <c r="F376" s="93">
        <f>D376*E376</f>
        <v>1735.2</v>
      </c>
      <c r="G376" s="74">
        <f t="shared" si="188"/>
        <v>-0.15000000000009095</v>
      </c>
      <c r="H376" s="95">
        <f t="shared" si="183"/>
        <v>1735.05</v>
      </c>
      <c r="I376" s="112"/>
      <c r="J376" s="57"/>
      <c r="K376" s="57">
        <f>2787*0.15</f>
        <v>418.05</v>
      </c>
      <c r="L376" s="57">
        <f>4390*2*0.15</f>
        <v>1317</v>
      </c>
      <c r="M376" s="57"/>
      <c r="N376" s="57"/>
      <c r="O376" s="57"/>
      <c r="P376" s="57"/>
      <c r="Q376" s="58"/>
      <c r="R376" s="170">
        <f>P376*Q376</f>
        <v>0</v>
      </c>
      <c r="S376" s="89">
        <f t="shared" si="178"/>
        <v>0</v>
      </c>
      <c r="T376" s="216">
        <f t="shared" si="179"/>
        <v>0</v>
      </c>
      <c r="U376" s="147"/>
      <c r="V376" s="148"/>
      <c r="W376" s="148"/>
      <c r="X376" s="148"/>
      <c r="Y376" s="148"/>
      <c r="Z376" s="148"/>
      <c r="AA376" s="148"/>
      <c r="AB376" s="148"/>
      <c r="AC376" s="150"/>
      <c r="AD376" s="76"/>
      <c r="AE376" s="76"/>
      <c r="AF376" s="128"/>
    </row>
    <row r="377" spans="1:32" s="2" customFormat="1" ht="21" x14ac:dyDescent="0.35">
      <c r="A377" s="8" t="s">
        <v>342</v>
      </c>
      <c r="B377" s="12" t="s">
        <v>308</v>
      </c>
      <c r="C377" s="21"/>
      <c r="D377" s="22"/>
      <c r="E377" s="15"/>
      <c r="F377" s="84">
        <f>F378+F383+F388+F392+F398</f>
        <v>26500</v>
      </c>
      <c r="G377" s="89">
        <f t="shared" si="188"/>
        <v>0</v>
      </c>
      <c r="H377" s="16">
        <f t="shared" si="183"/>
        <v>26500</v>
      </c>
      <c r="I377" s="51">
        <f t="shared" ref="I377:Q377" si="208">I378+I383+I388+I392+I398</f>
        <v>5000</v>
      </c>
      <c r="J377" s="51">
        <f t="shared" si="208"/>
        <v>1500</v>
      </c>
      <c r="K377" s="51">
        <f t="shared" si="208"/>
        <v>0</v>
      </c>
      <c r="L377" s="51">
        <f t="shared" si="208"/>
        <v>0</v>
      </c>
      <c r="M377" s="51">
        <f t="shared" si="208"/>
        <v>0</v>
      </c>
      <c r="N377" s="51">
        <f t="shared" si="208"/>
        <v>0</v>
      </c>
      <c r="O377" s="51">
        <f t="shared" si="208"/>
        <v>0</v>
      </c>
      <c r="P377" s="51">
        <f t="shared" si="208"/>
        <v>0</v>
      </c>
      <c r="Q377" s="59">
        <f t="shared" si="208"/>
        <v>20000</v>
      </c>
      <c r="R377" s="168">
        <f>R378+R383+R388+R392+R398</f>
        <v>2157.12</v>
      </c>
      <c r="S377" s="89">
        <f t="shared" si="178"/>
        <v>-2157.12</v>
      </c>
      <c r="T377" s="216">
        <f t="shared" si="179"/>
        <v>0</v>
      </c>
      <c r="U377" s="144">
        <f>U378+U383+U388+U392+U398</f>
        <v>0</v>
      </c>
      <c r="V377" s="144">
        <f t="shared" ref="V377:AC377" si="209">V378+V383+V388+V392+V398</f>
        <v>0</v>
      </c>
      <c r="W377" s="144">
        <f t="shared" si="209"/>
        <v>0</v>
      </c>
      <c r="X377" s="144">
        <f t="shared" si="209"/>
        <v>0</v>
      </c>
      <c r="Y377" s="144">
        <f t="shared" si="209"/>
        <v>0</v>
      </c>
      <c r="Z377" s="144">
        <f t="shared" si="209"/>
        <v>0</v>
      </c>
      <c r="AA377" s="144">
        <f t="shared" si="209"/>
        <v>0</v>
      </c>
      <c r="AB377" s="144">
        <f t="shared" si="209"/>
        <v>0</v>
      </c>
      <c r="AC377" s="151">
        <f t="shared" si="209"/>
        <v>0</v>
      </c>
      <c r="AD377" s="32">
        <f>+AD378+AD383+AD388+AD392+AD398</f>
        <v>20475</v>
      </c>
      <c r="AE377" s="32">
        <f>AE378+AE383+AE388+AE392+AE398</f>
        <v>9574.93</v>
      </c>
      <c r="AF377" s="126">
        <f>AE377*100/AD377</f>
        <v>46.764004884004883</v>
      </c>
    </row>
    <row r="378" spans="1:32" s="3" customFormat="1" ht="15.75" x14ac:dyDescent="0.25">
      <c r="A378" s="7" t="s">
        <v>362</v>
      </c>
      <c r="B378" s="13" t="s">
        <v>265</v>
      </c>
      <c r="C378" s="23"/>
      <c r="D378" s="24"/>
      <c r="E378" s="17"/>
      <c r="F378" s="82">
        <f>SUM(F379:F382)</f>
        <v>1000</v>
      </c>
      <c r="G378" s="89">
        <f t="shared" si="188"/>
        <v>0</v>
      </c>
      <c r="H378" s="18">
        <f t="shared" si="183"/>
        <v>1000</v>
      </c>
      <c r="I378" s="54">
        <f t="shared" ref="I378:Q378" si="210">SUM(I379:I382)</f>
        <v>1000</v>
      </c>
      <c r="J378" s="55">
        <f t="shared" si="210"/>
        <v>0</v>
      </c>
      <c r="K378" s="55">
        <f t="shared" si="210"/>
        <v>0</v>
      </c>
      <c r="L378" s="55">
        <f t="shared" si="210"/>
        <v>0</v>
      </c>
      <c r="M378" s="55">
        <f>SUM(M379:M382)</f>
        <v>0</v>
      </c>
      <c r="N378" s="55">
        <f t="shared" si="210"/>
        <v>0</v>
      </c>
      <c r="O378" s="55">
        <f t="shared" si="210"/>
        <v>0</v>
      </c>
      <c r="P378" s="55">
        <f t="shared" si="210"/>
        <v>0</v>
      </c>
      <c r="Q378" s="56">
        <f t="shared" si="210"/>
        <v>0</v>
      </c>
      <c r="R378" s="169">
        <f>SUM(R379:R382)</f>
        <v>148.74</v>
      </c>
      <c r="S378" s="89">
        <f t="shared" si="178"/>
        <v>-148.74</v>
      </c>
      <c r="T378" s="216">
        <f t="shared" si="179"/>
        <v>0</v>
      </c>
      <c r="U378" s="144">
        <f t="shared" ref="U378:AC378" si="211">SUM(U379:U382)</f>
        <v>0</v>
      </c>
      <c r="V378" s="145">
        <f t="shared" si="211"/>
        <v>0</v>
      </c>
      <c r="W378" s="145">
        <f t="shared" si="211"/>
        <v>0</v>
      </c>
      <c r="X378" s="145">
        <f t="shared" si="211"/>
        <v>0</v>
      </c>
      <c r="Y378" s="145">
        <f t="shared" si="211"/>
        <v>0</v>
      </c>
      <c r="Z378" s="145">
        <f t="shared" si="211"/>
        <v>0</v>
      </c>
      <c r="AA378" s="145">
        <f t="shared" si="211"/>
        <v>0</v>
      </c>
      <c r="AB378" s="145">
        <f t="shared" si="211"/>
        <v>0</v>
      </c>
      <c r="AC378" s="146">
        <f t="shared" si="211"/>
        <v>0</v>
      </c>
      <c r="AD378" s="33">
        <v>475</v>
      </c>
      <c r="AE378" s="33">
        <v>562.41999999999996</v>
      </c>
      <c r="AF378" s="127">
        <f>AE378*100/AD378</f>
        <v>118.40421052631578</v>
      </c>
    </row>
    <row r="379" spans="1:32" outlineLevel="1" x14ac:dyDescent="0.25">
      <c r="A379" s="5" t="s">
        <v>363</v>
      </c>
      <c r="B379" s="75" t="s">
        <v>281</v>
      </c>
      <c r="C379" s="25"/>
      <c r="D379" s="92">
        <v>1</v>
      </c>
      <c r="E379" s="110">
        <v>200</v>
      </c>
      <c r="F379" s="93">
        <f>D379*E379</f>
        <v>200</v>
      </c>
      <c r="G379" s="74">
        <f t="shared" si="188"/>
        <v>0</v>
      </c>
      <c r="H379" s="95">
        <f t="shared" si="183"/>
        <v>200</v>
      </c>
      <c r="I379" s="112">
        <v>200</v>
      </c>
      <c r="J379" s="57"/>
      <c r="K379" s="57"/>
      <c r="L379" s="57"/>
      <c r="M379" s="57"/>
      <c r="N379" s="57"/>
      <c r="O379" s="57"/>
      <c r="P379" s="68"/>
      <c r="Q379" s="58"/>
      <c r="R379" s="170">
        <f>P379*Q379</f>
        <v>0</v>
      </c>
      <c r="S379" s="89">
        <f t="shared" si="178"/>
        <v>0</v>
      </c>
      <c r="T379" s="216">
        <f t="shared" si="179"/>
        <v>0</v>
      </c>
      <c r="U379" s="147"/>
      <c r="V379" s="148"/>
      <c r="W379" s="148"/>
      <c r="X379" s="148"/>
      <c r="Y379" s="148"/>
      <c r="Z379" s="148"/>
      <c r="AA379" s="148"/>
      <c r="AB379" s="149"/>
      <c r="AC379" s="150"/>
      <c r="AD379" s="76"/>
      <c r="AE379" s="76"/>
      <c r="AF379" s="128"/>
    </row>
    <row r="380" spans="1:32" outlineLevel="1" x14ac:dyDescent="0.25">
      <c r="A380" s="4" t="s">
        <v>364</v>
      </c>
      <c r="B380" s="75" t="s">
        <v>309</v>
      </c>
      <c r="C380" s="25"/>
      <c r="D380" s="92">
        <v>4</v>
      </c>
      <c r="E380" s="110">
        <v>100</v>
      </c>
      <c r="F380" s="93">
        <f>D380*E380</f>
        <v>400</v>
      </c>
      <c r="G380" s="74">
        <f t="shared" si="188"/>
        <v>0</v>
      </c>
      <c r="H380" s="95">
        <f t="shared" si="183"/>
        <v>400</v>
      </c>
      <c r="I380" s="112">
        <v>400</v>
      </c>
      <c r="J380" s="57"/>
      <c r="K380" s="57"/>
      <c r="L380" s="57"/>
      <c r="M380" s="57"/>
      <c r="N380" s="57"/>
      <c r="O380" s="57"/>
      <c r="P380" s="68"/>
      <c r="Q380" s="58"/>
      <c r="R380" s="170">
        <f>P380*Q380</f>
        <v>0</v>
      </c>
      <c r="S380" s="89">
        <f t="shared" si="178"/>
        <v>0</v>
      </c>
      <c r="T380" s="216">
        <f t="shared" si="179"/>
        <v>0</v>
      </c>
      <c r="U380" s="147"/>
      <c r="V380" s="148"/>
      <c r="W380" s="148"/>
      <c r="X380" s="148"/>
      <c r="Y380" s="148"/>
      <c r="Z380" s="148"/>
      <c r="AA380" s="148"/>
      <c r="AB380" s="149"/>
      <c r="AC380" s="150"/>
      <c r="AD380" s="76"/>
      <c r="AE380" s="76"/>
      <c r="AF380" s="128"/>
    </row>
    <row r="381" spans="1:32" outlineLevel="1" x14ac:dyDescent="0.25">
      <c r="A381" s="4" t="s">
        <v>365</v>
      </c>
      <c r="B381" s="75" t="s">
        <v>285</v>
      </c>
      <c r="C381" s="25"/>
      <c r="D381" s="92">
        <v>4</v>
      </c>
      <c r="E381" s="110">
        <v>100</v>
      </c>
      <c r="F381" s="93">
        <f>D381*E381</f>
        <v>400</v>
      </c>
      <c r="G381" s="74">
        <f t="shared" si="188"/>
        <v>0</v>
      </c>
      <c r="H381" s="95">
        <f t="shared" si="183"/>
        <v>400</v>
      </c>
      <c r="I381" s="112">
        <v>400</v>
      </c>
      <c r="J381" s="57"/>
      <c r="K381" s="57"/>
      <c r="L381" s="57"/>
      <c r="M381" s="57"/>
      <c r="N381" s="57"/>
      <c r="O381" s="57"/>
      <c r="P381" s="68"/>
      <c r="Q381" s="58"/>
      <c r="R381" s="170">
        <f>P381*Q381</f>
        <v>0</v>
      </c>
      <c r="S381" s="89">
        <f t="shared" si="178"/>
        <v>0</v>
      </c>
      <c r="T381" s="216">
        <f t="shared" si="179"/>
        <v>0</v>
      </c>
      <c r="U381" s="147"/>
      <c r="V381" s="148"/>
      <c r="W381" s="148"/>
      <c r="X381" s="148"/>
      <c r="Y381" s="148"/>
      <c r="Z381" s="148"/>
      <c r="AA381" s="148"/>
      <c r="AB381" s="149"/>
      <c r="AC381" s="150"/>
      <c r="AD381" s="76"/>
      <c r="AE381" s="76"/>
      <c r="AF381" s="128"/>
    </row>
    <row r="382" spans="1:32" outlineLevel="1" x14ac:dyDescent="0.25">
      <c r="A382" s="4" t="s">
        <v>366</v>
      </c>
      <c r="B382" s="75" t="s">
        <v>47</v>
      </c>
      <c r="C382" s="25"/>
      <c r="D382" s="92"/>
      <c r="E382" s="110"/>
      <c r="F382" s="93">
        <f>D382*E382</f>
        <v>0</v>
      </c>
      <c r="G382" s="74">
        <f t="shared" si="188"/>
        <v>0</v>
      </c>
      <c r="H382" s="95">
        <f t="shared" si="183"/>
        <v>0</v>
      </c>
      <c r="I382" s="112">
        <f>F382</f>
        <v>0</v>
      </c>
      <c r="J382" s="57"/>
      <c r="K382" s="57"/>
      <c r="L382" s="57"/>
      <c r="M382" s="57"/>
      <c r="N382" s="57"/>
      <c r="O382" s="57"/>
      <c r="P382" s="68"/>
      <c r="Q382" s="58"/>
      <c r="R382" s="170">
        <v>148.74</v>
      </c>
      <c r="S382" s="89">
        <f t="shared" si="178"/>
        <v>-148.74</v>
      </c>
      <c r="T382" s="216">
        <f t="shared" si="179"/>
        <v>0</v>
      </c>
      <c r="U382" s="147">
        <f>Q382</f>
        <v>0</v>
      </c>
      <c r="V382" s="148"/>
      <c r="W382" s="148"/>
      <c r="X382" s="148"/>
      <c r="Y382" s="148"/>
      <c r="Z382" s="148"/>
      <c r="AA382" s="148"/>
      <c r="AB382" s="149"/>
      <c r="AC382" s="150"/>
      <c r="AD382" s="76"/>
      <c r="AE382" s="76"/>
      <c r="AF382" s="128"/>
    </row>
    <row r="383" spans="1:32" s="3" customFormat="1" ht="15.75" x14ac:dyDescent="0.25">
      <c r="A383" s="7" t="s">
        <v>367</v>
      </c>
      <c r="B383" s="13" t="s">
        <v>248</v>
      </c>
      <c r="C383" s="23"/>
      <c r="D383" s="24"/>
      <c r="E383" s="17"/>
      <c r="F383" s="82">
        <f>SUM(F384:F387)</f>
        <v>5000</v>
      </c>
      <c r="G383" s="89">
        <f t="shared" si="188"/>
        <v>0</v>
      </c>
      <c r="H383" s="18">
        <f t="shared" si="183"/>
        <v>5000</v>
      </c>
      <c r="I383" s="54">
        <f t="shared" ref="I383:Q383" si="212">SUM(I384:I387)</f>
        <v>0</v>
      </c>
      <c r="J383" s="55">
        <f t="shared" si="212"/>
        <v>1500</v>
      </c>
      <c r="K383" s="55">
        <f t="shared" si="212"/>
        <v>0</v>
      </c>
      <c r="L383" s="55">
        <f t="shared" si="212"/>
        <v>0</v>
      </c>
      <c r="M383" s="55">
        <f t="shared" si="212"/>
        <v>0</v>
      </c>
      <c r="N383" s="55">
        <f t="shared" si="212"/>
        <v>0</v>
      </c>
      <c r="O383" s="55">
        <f t="shared" si="212"/>
        <v>0</v>
      </c>
      <c r="P383" s="55">
        <f t="shared" si="212"/>
        <v>0</v>
      </c>
      <c r="Q383" s="56">
        <f t="shared" si="212"/>
        <v>3500</v>
      </c>
      <c r="R383" s="169">
        <f>SUM(R384:R387)</f>
        <v>774.68</v>
      </c>
      <c r="S383" s="89">
        <f t="shared" si="178"/>
        <v>-774.68</v>
      </c>
      <c r="T383" s="216">
        <f t="shared" si="179"/>
        <v>0</v>
      </c>
      <c r="U383" s="144">
        <f>SUM(U384:U387)</f>
        <v>0</v>
      </c>
      <c r="V383" s="145">
        <f t="shared" ref="V383:AC383" si="213">SUM(V384:V387)</f>
        <v>0</v>
      </c>
      <c r="W383" s="145">
        <f t="shared" si="213"/>
        <v>0</v>
      </c>
      <c r="X383" s="145">
        <f t="shared" si="213"/>
        <v>0</v>
      </c>
      <c r="Y383" s="145">
        <f t="shared" si="213"/>
        <v>0</v>
      </c>
      <c r="Z383" s="145">
        <f t="shared" si="213"/>
        <v>0</v>
      </c>
      <c r="AA383" s="145">
        <f t="shared" si="213"/>
        <v>0</v>
      </c>
      <c r="AB383" s="145">
        <f t="shared" si="213"/>
        <v>0</v>
      </c>
      <c r="AC383" s="146">
        <f t="shared" si="213"/>
        <v>0</v>
      </c>
      <c r="AD383" s="33">
        <v>2500</v>
      </c>
      <c r="AE383" s="33">
        <f>SUM(AE384:AE387)</f>
        <v>0</v>
      </c>
      <c r="AF383" s="127">
        <f>AE383*100/AD383</f>
        <v>0</v>
      </c>
    </row>
    <row r="384" spans="1:32" outlineLevel="1" x14ac:dyDescent="0.25">
      <c r="A384" s="4" t="s">
        <v>368</v>
      </c>
      <c r="B384" s="75" t="s">
        <v>311</v>
      </c>
      <c r="C384" s="25"/>
      <c r="D384" s="92">
        <v>1</v>
      </c>
      <c r="E384" s="110">
        <v>2500</v>
      </c>
      <c r="F384" s="93">
        <f>D384*E384</f>
        <v>2500</v>
      </c>
      <c r="G384" s="74">
        <f t="shared" si="188"/>
        <v>0</v>
      </c>
      <c r="H384" s="95">
        <f t="shared" si="183"/>
        <v>2500</v>
      </c>
      <c r="I384" s="112"/>
      <c r="J384" s="57">
        <v>1500</v>
      </c>
      <c r="K384" s="57"/>
      <c r="L384" s="57"/>
      <c r="M384" s="57"/>
      <c r="N384" s="57"/>
      <c r="O384" s="57"/>
      <c r="P384" s="68"/>
      <c r="Q384" s="58">
        <v>1000</v>
      </c>
      <c r="R384" s="170">
        <f>P384*Q384</f>
        <v>0</v>
      </c>
      <c r="S384" s="89">
        <f t="shared" si="178"/>
        <v>0</v>
      </c>
      <c r="T384" s="216">
        <f t="shared" si="179"/>
        <v>0</v>
      </c>
      <c r="U384" s="147"/>
      <c r="V384" s="148"/>
      <c r="W384" s="148"/>
      <c r="X384" s="148"/>
      <c r="Y384" s="148"/>
      <c r="Z384" s="148"/>
      <c r="AA384" s="148"/>
      <c r="AB384" s="149"/>
      <c r="AC384" s="150"/>
      <c r="AD384" s="76"/>
      <c r="AE384" s="76"/>
      <c r="AF384" s="128"/>
    </row>
    <row r="385" spans="1:33" outlineLevel="1" x14ac:dyDescent="0.25">
      <c r="A385" s="4" t="s">
        <v>369</v>
      </c>
      <c r="B385" s="75" t="s">
        <v>890</v>
      </c>
      <c r="C385" s="25"/>
      <c r="D385" s="92">
        <v>1</v>
      </c>
      <c r="E385" s="110">
        <v>1500</v>
      </c>
      <c r="F385" s="93">
        <f>D385*E385</f>
        <v>1500</v>
      </c>
      <c r="G385" s="74">
        <f t="shared" si="188"/>
        <v>0</v>
      </c>
      <c r="H385" s="95">
        <f t="shared" si="183"/>
        <v>1500</v>
      </c>
      <c r="I385" s="112"/>
      <c r="J385" s="57"/>
      <c r="K385" s="57"/>
      <c r="L385" s="57"/>
      <c r="M385" s="57"/>
      <c r="N385" s="57"/>
      <c r="O385" s="57"/>
      <c r="P385" s="68"/>
      <c r="Q385" s="58">
        <v>1500</v>
      </c>
      <c r="R385" s="170">
        <v>774.68</v>
      </c>
      <c r="S385" s="89">
        <f t="shared" si="178"/>
        <v>-774.68</v>
      </c>
      <c r="T385" s="216">
        <f t="shared" si="179"/>
        <v>0</v>
      </c>
      <c r="U385" s="147"/>
      <c r="V385" s="148"/>
      <c r="W385" s="148"/>
      <c r="X385" s="148"/>
      <c r="Y385" s="148"/>
      <c r="Z385" s="148"/>
      <c r="AA385" s="148"/>
      <c r="AB385" s="149"/>
      <c r="AC385" s="150"/>
      <c r="AD385" s="76"/>
      <c r="AE385" s="76"/>
      <c r="AF385" s="128"/>
    </row>
    <row r="386" spans="1:33" outlineLevel="1" x14ac:dyDescent="0.25">
      <c r="A386" s="4" t="s">
        <v>370</v>
      </c>
      <c r="B386" s="75" t="s">
        <v>536</v>
      </c>
      <c r="C386" s="25"/>
      <c r="D386" s="92">
        <v>1</v>
      </c>
      <c r="E386" s="110">
        <v>1000</v>
      </c>
      <c r="F386" s="93">
        <f>D386*E386</f>
        <v>1000</v>
      </c>
      <c r="G386" s="74">
        <f>H386-F386</f>
        <v>0</v>
      </c>
      <c r="H386" s="95">
        <f t="shared" si="183"/>
        <v>1000</v>
      </c>
      <c r="I386" s="112"/>
      <c r="J386" s="57"/>
      <c r="K386" s="57"/>
      <c r="L386" s="57"/>
      <c r="M386" s="57"/>
      <c r="N386" s="57"/>
      <c r="O386" s="57"/>
      <c r="P386" s="68"/>
      <c r="Q386" s="58">
        <v>1000</v>
      </c>
      <c r="R386" s="170">
        <f>P386*Q386</f>
        <v>0</v>
      </c>
      <c r="S386" s="89">
        <f t="shared" si="178"/>
        <v>0</v>
      </c>
      <c r="T386" s="216">
        <f t="shared" si="179"/>
        <v>0</v>
      </c>
      <c r="U386" s="147"/>
      <c r="V386" s="148"/>
      <c r="W386" s="148"/>
      <c r="X386" s="148"/>
      <c r="Y386" s="148"/>
      <c r="Z386" s="148"/>
      <c r="AA386" s="148"/>
      <c r="AB386" s="149"/>
      <c r="AC386" s="150"/>
      <c r="AD386" s="76"/>
      <c r="AE386" s="76"/>
      <c r="AF386" s="128"/>
    </row>
    <row r="387" spans="1:33" outlineLevel="1" x14ac:dyDescent="0.25">
      <c r="A387" s="4" t="s">
        <v>859</v>
      </c>
      <c r="B387" s="75" t="s">
        <v>47</v>
      </c>
      <c r="C387" s="25"/>
      <c r="D387" s="92"/>
      <c r="E387" s="110"/>
      <c r="F387" s="93">
        <f>D387*E387</f>
        <v>0</v>
      </c>
      <c r="G387" s="74">
        <f t="shared" si="188"/>
        <v>0</v>
      </c>
      <c r="H387" s="95">
        <f t="shared" si="183"/>
        <v>0</v>
      </c>
      <c r="I387" s="112"/>
      <c r="J387" s="57"/>
      <c r="K387" s="57"/>
      <c r="L387" s="57"/>
      <c r="M387" s="57"/>
      <c r="N387" s="57"/>
      <c r="O387" s="57"/>
      <c r="P387" s="68"/>
      <c r="Q387" s="58"/>
      <c r="R387" s="170">
        <f>P387*Q387</f>
        <v>0</v>
      </c>
      <c r="S387" s="89">
        <f t="shared" si="178"/>
        <v>0</v>
      </c>
      <c r="T387" s="216">
        <f t="shared" si="179"/>
        <v>0</v>
      </c>
      <c r="U387" s="147"/>
      <c r="V387" s="148"/>
      <c r="W387" s="148"/>
      <c r="X387" s="148"/>
      <c r="Y387" s="148"/>
      <c r="Z387" s="148"/>
      <c r="AA387" s="148"/>
      <c r="AB387" s="149"/>
      <c r="AC387" s="150"/>
      <c r="AD387" s="76"/>
      <c r="AE387" s="76"/>
      <c r="AF387" s="128"/>
    </row>
    <row r="388" spans="1:33" s="3" customFormat="1" ht="15.75" x14ac:dyDescent="0.25">
      <c r="A388" s="7" t="s">
        <v>371</v>
      </c>
      <c r="B388" s="13" t="s">
        <v>888</v>
      </c>
      <c r="C388" s="23"/>
      <c r="D388" s="24"/>
      <c r="E388" s="17"/>
      <c r="F388" s="82">
        <f>SUM(F389:F391)</f>
        <v>9000</v>
      </c>
      <c r="G388" s="89">
        <f t="shared" si="188"/>
        <v>0</v>
      </c>
      <c r="H388" s="18">
        <f t="shared" si="183"/>
        <v>9000</v>
      </c>
      <c r="I388" s="54">
        <f t="shared" ref="I388:Q388" si="214">SUM(I389:I391)</f>
        <v>1000</v>
      </c>
      <c r="J388" s="55">
        <f t="shared" si="214"/>
        <v>0</v>
      </c>
      <c r="K388" s="55">
        <f t="shared" si="214"/>
        <v>0</v>
      </c>
      <c r="L388" s="55">
        <f t="shared" si="214"/>
        <v>0</v>
      </c>
      <c r="M388" s="55">
        <f t="shared" si="214"/>
        <v>0</v>
      </c>
      <c r="N388" s="55">
        <f t="shared" si="214"/>
        <v>0</v>
      </c>
      <c r="O388" s="55">
        <f t="shared" si="214"/>
        <v>0</v>
      </c>
      <c r="P388" s="55">
        <f t="shared" si="214"/>
        <v>0</v>
      </c>
      <c r="Q388" s="56">
        <f t="shared" si="214"/>
        <v>8000</v>
      </c>
      <c r="R388" s="169">
        <f>SUM(R389:R391)</f>
        <v>679.88</v>
      </c>
      <c r="S388" s="89">
        <f t="shared" si="178"/>
        <v>-679.88</v>
      </c>
      <c r="T388" s="216">
        <f t="shared" si="179"/>
        <v>0</v>
      </c>
      <c r="U388" s="144">
        <f>SUM(U389:U391)</f>
        <v>0</v>
      </c>
      <c r="V388" s="145">
        <f t="shared" ref="V388:AC388" si="215">SUM(V389:V391)</f>
        <v>0</v>
      </c>
      <c r="W388" s="145">
        <f t="shared" si="215"/>
        <v>0</v>
      </c>
      <c r="X388" s="145">
        <f t="shared" si="215"/>
        <v>0</v>
      </c>
      <c r="Y388" s="145">
        <f t="shared" si="215"/>
        <v>0</v>
      </c>
      <c r="Z388" s="145">
        <f t="shared" si="215"/>
        <v>0</v>
      </c>
      <c r="AA388" s="145">
        <f t="shared" si="215"/>
        <v>0</v>
      </c>
      <c r="AB388" s="145">
        <f t="shared" si="215"/>
        <v>0</v>
      </c>
      <c r="AC388" s="146">
        <f t="shared" si="215"/>
        <v>0</v>
      </c>
      <c r="AD388" s="33">
        <v>9500</v>
      </c>
      <c r="AE388" s="33">
        <f>8817.57+29.2</f>
        <v>8846.77</v>
      </c>
      <c r="AF388" s="127">
        <f>AE388*100/AD388</f>
        <v>93.123894736842104</v>
      </c>
    </row>
    <row r="389" spans="1:33" outlineLevel="1" x14ac:dyDescent="0.25">
      <c r="A389" s="4" t="s">
        <v>372</v>
      </c>
      <c r="B389" s="75" t="s">
        <v>148</v>
      </c>
      <c r="C389" s="25"/>
      <c r="D389" s="92">
        <v>1</v>
      </c>
      <c r="E389" s="110">
        <v>3000</v>
      </c>
      <c r="F389" s="93">
        <v>4000</v>
      </c>
      <c r="G389" s="74">
        <f t="shared" si="188"/>
        <v>0</v>
      </c>
      <c r="H389" s="95">
        <f t="shared" si="183"/>
        <v>4000</v>
      </c>
      <c r="I389" s="112">
        <v>1000</v>
      </c>
      <c r="J389" s="57"/>
      <c r="K389" s="57"/>
      <c r="L389" s="57"/>
      <c r="M389" s="57"/>
      <c r="N389" s="57"/>
      <c r="O389" s="57"/>
      <c r="P389" s="68"/>
      <c r="Q389" s="58">
        <v>3000</v>
      </c>
      <c r="R389" s="170">
        <f>P389*Q389</f>
        <v>0</v>
      </c>
      <c r="S389" s="89">
        <f t="shared" ref="S389:S452" si="216">T389-R389</f>
        <v>0</v>
      </c>
      <c r="T389" s="216">
        <f t="shared" ref="T389:T452" si="217">+U389+V389+W389+X389+Y389+Z389+AA389+AB389+AC389</f>
        <v>0</v>
      </c>
      <c r="U389" s="147"/>
      <c r="V389" s="148"/>
      <c r="W389" s="148"/>
      <c r="X389" s="148"/>
      <c r="Y389" s="148"/>
      <c r="Z389" s="148"/>
      <c r="AA389" s="148"/>
      <c r="AB389" s="149"/>
      <c r="AC389" s="150"/>
      <c r="AD389" s="76"/>
      <c r="AE389" s="76"/>
      <c r="AF389" s="128"/>
    </row>
    <row r="390" spans="1:33" outlineLevel="1" x14ac:dyDescent="0.25">
      <c r="A390" s="6" t="s">
        <v>373</v>
      </c>
      <c r="B390" s="75" t="s">
        <v>149</v>
      </c>
      <c r="C390" s="25"/>
      <c r="D390" s="92">
        <v>1</v>
      </c>
      <c r="E390" s="110">
        <v>2500</v>
      </c>
      <c r="F390" s="93">
        <f>D390*E390</f>
        <v>2500</v>
      </c>
      <c r="G390" s="74">
        <f t="shared" si="188"/>
        <v>0</v>
      </c>
      <c r="H390" s="95">
        <f t="shared" si="183"/>
        <v>2500</v>
      </c>
      <c r="I390" s="112"/>
      <c r="J390" s="57"/>
      <c r="K390" s="57"/>
      <c r="L390" s="57"/>
      <c r="M390" s="57"/>
      <c r="N390" s="57"/>
      <c r="O390" s="57"/>
      <c r="P390" s="68"/>
      <c r="Q390" s="58">
        <v>2500</v>
      </c>
      <c r="R390" s="170">
        <v>254.95</v>
      </c>
      <c r="S390" s="89">
        <f t="shared" si="216"/>
        <v>-254.95</v>
      </c>
      <c r="T390" s="216">
        <f t="shared" si="217"/>
        <v>0</v>
      </c>
      <c r="U390" s="147"/>
      <c r="V390" s="148"/>
      <c r="W390" s="148"/>
      <c r="X390" s="148"/>
      <c r="Y390" s="148"/>
      <c r="Z390" s="148"/>
      <c r="AA390" s="148"/>
      <c r="AB390" s="149"/>
      <c r="AC390" s="150"/>
      <c r="AD390" s="76"/>
      <c r="AE390" s="76"/>
      <c r="AF390" s="128"/>
    </row>
    <row r="391" spans="1:33" outlineLevel="1" x14ac:dyDescent="0.25">
      <c r="A391" s="4" t="s">
        <v>858</v>
      </c>
      <c r="B391" s="75" t="s">
        <v>889</v>
      </c>
      <c r="C391" s="25"/>
      <c r="D391" s="92">
        <v>1</v>
      </c>
      <c r="E391" s="110">
        <v>2500</v>
      </c>
      <c r="F391" s="93">
        <f>D391*E391</f>
        <v>2500</v>
      </c>
      <c r="G391" s="74">
        <f t="shared" si="188"/>
        <v>0</v>
      </c>
      <c r="H391" s="95">
        <f t="shared" si="183"/>
        <v>2500</v>
      </c>
      <c r="I391" s="112"/>
      <c r="J391" s="57"/>
      <c r="K391" s="57"/>
      <c r="L391" s="57"/>
      <c r="M391" s="57"/>
      <c r="N391" s="57"/>
      <c r="O391" s="57"/>
      <c r="P391" s="68"/>
      <c r="Q391" s="58">
        <v>2500</v>
      </c>
      <c r="R391" s="170">
        <v>424.93</v>
      </c>
      <c r="S391" s="89">
        <f t="shared" si="216"/>
        <v>-424.93</v>
      </c>
      <c r="T391" s="216">
        <f t="shared" si="217"/>
        <v>0</v>
      </c>
      <c r="U391" s="147"/>
      <c r="V391" s="148"/>
      <c r="W391" s="148"/>
      <c r="X391" s="148"/>
      <c r="Y391" s="148"/>
      <c r="Z391" s="148"/>
      <c r="AA391" s="148"/>
      <c r="AB391" s="149"/>
      <c r="AC391" s="150"/>
      <c r="AD391" s="76"/>
      <c r="AE391" s="76"/>
      <c r="AF391" s="128"/>
    </row>
    <row r="392" spans="1:33" s="3" customFormat="1" ht="15.75" x14ac:dyDescent="0.25">
      <c r="A392" s="7" t="s">
        <v>374</v>
      </c>
      <c r="B392" s="13" t="s">
        <v>250</v>
      </c>
      <c r="C392" s="23"/>
      <c r="D392" s="24"/>
      <c r="E392" s="17"/>
      <c r="F392" s="82">
        <f>SUM(F393:F397)</f>
        <v>8500</v>
      </c>
      <c r="G392" s="89">
        <f t="shared" si="188"/>
        <v>0</v>
      </c>
      <c r="H392" s="18">
        <f t="shared" si="183"/>
        <v>8500</v>
      </c>
      <c r="I392" s="54">
        <f t="shared" ref="I392:Q392" si="218">SUM(I393:I397)</f>
        <v>3000</v>
      </c>
      <c r="J392" s="55">
        <f t="shared" si="218"/>
        <v>0</v>
      </c>
      <c r="K392" s="55">
        <f t="shared" si="218"/>
        <v>0</v>
      </c>
      <c r="L392" s="55">
        <f t="shared" si="218"/>
        <v>0</v>
      </c>
      <c r="M392" s="55">
        <f t="shared" si="218"/>
        <v>0</v>
      </c>
      <c r="N392" s="55">
        <f t="shared" si="218"/>
        <v>0</v>
      </c>
      <c r="O392" s="55">
        <f t="shared" si="218"/>
        <v>0</v>
      </c>
      <c r="P392" s="55">
        <f t="shared" si="218"/>
        <v>0</v>
      </c>
      <c r="Q392" s="56">
        <f t="shared" si="218"/>
        <v>5500</v>
      </c>
      <c r="R392" s="169">
        <f>SUM(R393:R397)</f>
        <v>553.81999999999994</v>
      </c>
      <c r="S392" s="89">
        <f t="shared" si="216"/>
        <v>-553.81999999999994</v>
      </c>
      <c r="T392" s="216">
        <f t="shared" si="217"/>
        <v>0</v>
      </c>
      <c r="U392" s="144">
        <f>SUM(U393:U397)</f>
        <v>0</v>
      </c>
      <c r="V392" s="145">
        <f t="shared" ref="V392:AC392" si="219">SUM(V393:V397)</f>
        <v>0</v>
      </c>
      <c r="W392" s="145">
        <f t="shared" si="219"/>
        <v>0</v>
      </c>
      <c r="X392" s="145">
        <f t="shared" si="219"/>
        <v>0</v>
      </c>
      <c r="Y392" s="145">
        <f t="shared" si="219"/>
        <v>0</v>
      </c>
      <c r="Z392" s="145">
        <f t="shared" si="219"/>
        <v>0</v>
      </c>
      <c r="AA392" s="145">
        <f t="shared" si="219"/>
        <v>0</v>
      </c>
      <c r="AB392" s="145">
        <f t="shared" si="219"/>
        <v>0</v>
      </c>
      <c r="AC392" s="146">
        <f t="shared" si="219"/>
        <v>0</v>
      </c>
      <c r="AD392" s="33">
        <v>8000</v>
      </c>
      <c r="AE392" s="33">
        <v>165.74</v>
      </c>
      <c r="AF392" s="127">
        <f>AE392*100/AD392</f>
        <v>2.0717500000000002</v>
      </c>
    </row>
    <row r="393" spans="1:33" outlineLevel="1" x14ac:dyDescent="0.25">
      <c r="A393" s="4" t="s">
        <v>375</v>
      </c>
      <c r="B393" s="75" t="s">
        <v>855</v>
      </c>
      <c r="C393" s="25"/>
      <c r="D393" s="92">
        <v>1</v>
      </c>
      <c r="E393" s="110">
        <v>2000</v>
      </c>
      <c r="F393" s="93">
        <v>2500</v>
      </c>
      <c r="G393" s="74">
        <f t="shared" si="188"/>
        <v>0</v>
      </c>
      <c r="H393" s="95">
        <f t="shared" si="183"/>
        <v>2500</v>
      </c>
      <c r="I393" s="112"/>
      <c r="J393" s="57"/>
      <c r="K393" s="57"/>
      <c r="L393" s="57"/>
      <c r="M393" s="57"/>
      <c r="N393" s="57"/>
      <c r="O393" s="57"/>
      <c r="P393" s="68"/>
      <c r="Q393" s="58">
        <v>2500</v>
      </c>
      <c r="R393" s="170">
        <v>13.31</v>
      </c>
      <c r="S393" s="89">
        <f t="shared" si="216"/>
        <v>-13.31</v>
      </c>
      <c r="T393" s="216">
        <f t="shared" si="217"/>
        <v>0</v>
      </c>
      <c r="U393" s="147"/>
      <c r="V393" s="148"/>
      <c r="W393" s="148"/>
      <c r="X393" s="148"/>
      <c r="Y393" s="148"/>
      <c r="Z393" s="148"/>
      <c r="AA393" s="148"/>
      <c r="AB393" s="149"/>
      <c r="AC393" s="150"/>
      <c r="AD393" s="76"/>
      <c r="AE393" s="76"/>
      <c r="AF393" s="128"/>
    </row>
    <row r="394" spans="1:33" outlineLevel="1" x14ac:dyDescent="0.25">
      <c r="A394" s="4" t="s">
        <v>376</v>
      </c>
      <c r="B394" s="75" t="s">
        <v>990</v>
      </c>
      <c r="C394" s="25"/>
      <c r="D394" s="92">
        <v>1</v>
      </c>
      <c r="E394" s="110">
        <v>3000</v>
      </c>
      <c r="F394" s="93">
        <f>D394*E394</f>
        <v>3000</v>
      </c>
      <c r="G394" s="74">
        <f t="shared" si="188"/>
        <v>0</v>
      </c>
      <c r="H394" s="95">
        <f t="shared" si="183"/>
        <v>3000</v>
      </c>
      <c r="I394" s="112">
        <v>3000</v>
      </c>
      <c r="J394" s="57"/>
      <c r="K394" s="57"/>
      <c r="L394" s="57"/>
      <c r="M394" s="57"/>
      <c r="N394" s="57"/>
      <c r="O394" s="57"/>
      <c r="P394" s="68"/>
      <c r="Q394" s="58"/>
      <c r="R394" s="170">
        <f>P394*Q394</f>
        <v>0</v>
      </c>
      <c r="S394" s="89">
        <f t="shared" si="216"/>
        <v>0</v>
      </c>
      <c r="T394" s="216">
        <f t="shared" si="217"/>
        <v>0</v>
      </c>
      <c r="U394" s="147"/>
      <c r="V394" s="148"/>
      <c r="W394" s="148"/>
      <c r="X394" s="148"/>
      <c r="Y394" s="148"/>
      <c r="Z394" s="148"/>
      <c r="AA394" s="148"/>
      <c r="AB394" s="149"/>
      <c r="AC394" s="150"/>
      <c r="AD394" s="76"/>
      <c r="AE394" s="76"/>
      <c r="AF394" s="128"/>
    </row>
    <row r="395" spans="1:33" outlineLevel="1" x14ac:dyDescent="0.25">
      <c r="A395" s="4" t="s">
        <v>377</v>
      </c>
      <c r="B395" s="75" t="s">
        <v>892</v>
      </c>
      <c r="C395" s="25"/>
      <c r="D395" s="92">
        <v>1</v>
      </c>
      <c r="E395" s="110">
        <v>1500</v>
      </c>
      <c r="F395" s="93">
        <f>D395*E395</f>
        <v>1500</v>
      </c>
      <c r="G395" s="74">
        <f t="shared" si="188"/>
        <v>0</v>
      </c>
      <c r="H395" s="95">
        <f t="shared" si="183"/>
        <v>1500</v>
      </c>
      <c r="I395" s="112"/>
      <c r="J395" s="57"/>
      <c r="K395" s="57"/>
      <c r="L395" s="57"/>
      <c r="M395" s="57"/>
      <c r="N395" s="57"/>
      <c r="O395" s="57"/>
      <c r="P395" s="68"/>
      <c r="Q395" s="58">
        <v>1500</v>
      </c>
      <c r="R395" s="170">
        <f>P395*Q395</f>
        <v>0</v>
      </c>
      <c r="S395" s="89">
        <f t="shared" si="216"/>
        <v>0</v>
      </c>
      <c r="T395" s="216">
        <f t="shared" si="217"/>
        <v>0</v>
      </c>
      <c r="U395" s="147"/>
      <c r="V395" s="148"/>
      <c r="W395" s="148"/>
      <c r="X395" s="148"/>
      <c r="Y395" s="148"/>
      <c r="Z395" s="148"/>
      <c r="AA395" s="148"/>
      <c r="AB395" s="149"/>
      <c r="AC395" s="150"/>
      <c r="AD395" s="76"/>
      <c r="AE395" s="76"/>
      <c r="AF395" s="128"/>
    </row>
    <row r="396" spans="1:33" outlineLevel="1" x14ac:dyDescent="0.25">
      <c r="A396" s="4" t="s">
        <v>378</v>
      </c>
      <c r="B396" s="75" t="s">
        <v>981</v>
      </c>
      <c r="C396" s="25"/>
      <c r="D396" s="92">
        <v>1</v>
      </c>
      <c r="E396" s="110">
        <v>1500</v>
      </c>
      <c r="F396" s="93">
        <f>D396*E396</f>
        <v>1500</v>
      </c>
      <c r="G396" s="74">
        <f t="shared" si="188"/>
        <v>0</v>
      </c>
      <c r="H396" s="95">
        <f t="shared" si="183"/>
        <v>1500</v>
      </c>
      <c r="I396" s="112"/>
      <c r="J396" s="57"/>
      <c r="K396" s="57"/>
      <c r="L396" s="57"/>
      <c r="M396" s="57"/>
      <c r="N396" s="57"/>
      <c r="O396" s="57"/>
      <c r="P396" s="68"/>
      <c r="Q396" s="58">
        <v>1500</v>
      </c>
      <c r="R396" s="170">
        <v>189.44</v>
      </c>
      <c r="S396" s="89">
        <f t="shared" si="216"/>
        <v>-189.44</v>
      </c>
      <c r="T396" s="216">
        <f t="shared" si="217"/>
        <v>0</v>
      </c>
      <c r="U396" s="147"/>
      <c r="V396" s="148"/>
      <c r="W396" s="148"/>
      <c r="X396" s="148"/>
      <c r="Y396" s="148"/>
      <c r="Z396" s="148"/>
      <c r="AA396" s="148"/>
      <c r="AB396" s="149"/>
      <c r="AC396" s="150"/>
      <c r="AD396" s="76"/>
      <c r="AE396" s="76"/>
      <c r="AF396" s="128"/>
    </row>
    <row r="397" spans="1:33" outlineLevel="1" x14ac:dyDescent="0.25">
      <c r="A397" s="4" t="s">
        <v>860</v>
      </c>
      <c r="B397" s="75" t="s">
        <v>47</v>
      </c>
      <c r="C397" s="25"/>
      <c r="D397" s="92"/>
      <c r="E397" s="110"/>
      <c r="F397" s="93">
        <f>D397*E397</f>
        <v>0</v>
      </c>
      <c r="G397" s="74">
        <f t="shared" si="188"/>
        <v>0</v>
      </c>
      <c r="H397" s="95">
        <f t="shared" si="183"/>
        <v>0</v>
      </c>
      <c r="I397" s="112"/>
      <c r="J397" s="57"/>
      <c r="K397" s="57"/>
      <c r="L397" s="57"/>
      <c r="M397" s="57"/>
      <c r="N397" s="57"/>
      <c r="O397" s="57"/>
      <c r="P397" s="68"/>
      <c r="Q397" s="58"/>
      <c r="R397" s="170">
        <v>351.07</v>
      </c>
      <c r="S397" s="89">
        <f t="shared" si="216"/>
        <v>-351.07</v>
      </c>
      <c r="T397" s="216">
        <f t="shared" si="217"/>
        <v>0</v>
      </c>
      <c r="U397" s="147"/>
      <c r="V397" s="148"/>
      <c r="W397" s="148"/>
      <c r="X397" s="148"/>
      <c r="Y397" s="148"/>
      <c r="Z397" s="148"/>
      <c r="AA397" s="148"/>
      <c r="AB397" s="149"/>
      <c r="AC397" s="150"/>
      <c r="AD397" s="76"/>
      <c r="AE397" s="76"/>
      <c r="AF397" s="128"/>
    </row>
    <row r="398" spans="1:33" s="3" customFormat="1" ht="15.75" x14ac:dyDescent="0.25">
      <c r="A398" s="7" t="s">
        <v>379</v>
      </c>
      <c r="B398" s="13" t="s">
        <v>495</v>
      </c>
      <c r="C398" s="23"/>
      <c r="D398" s="24"/>
      <c r="E398" s="17"/>
      <c r="F398" s="82">
        <f>SUM(F399:F399)</f>
        <v>3000</v>
      </c>
      <c r="G398" s="89">
        <f t="shared" si="188"/>
        <v>0</v>
      </c>
      <c r="H398" s="18">
        <f t="shared" ref="H398:H463" si="220">SUM(I398:Q398)</f>
        <v>3000</v>
      </c>
      <c r="I398" s="54">
        <f>SUM(I399:I399)</f>
        <v>0</v>
      </c>
      <c r="J398" s="55">
        <f>SUM(J399:J399)</f>
        <v>0</v>
      </c>
      <c r="K398" s="55">
        <f>SUM(K399:K399)</f>
        <v>0</v>
      </c>
      <c r="L398" s="55">
        <f>SUM(L399:L399)</f>
        <v>0</v>
      </c>
      <c r="M398" s="55"/>
      <c r="N398" s="55">
        <f>SUM(N399:N399)</f>
        <v>0</v>
      </c>
      <c r="O398" s="55">
        <f>SUM(O399:O399)</f>
        <v>0</v>
      </c>
      <c r="P398" s="55">
        <f>SUM(P399:P399)</f>
        <v>0</v>
      </c>
      <c r="Q398" s="56">
        <f>SUM(Q399:Q399)</f>
        <v>3000</v>
      </c>
      <c r="R398" s="169">
        <f>SUM(R399:R399)</f>
        <v>0</v>
      </c>
      <c r="S398" s="89">
        <f t="shared" si="216"/>
        <v>0</v>
      </c>
      <c r="T398" s="216">
        <f t="shared" si="217"/>
        <v>0</v>
      </c>
      <c r="U398" s="144">
        <f>SUM(U399:U399)</f>
        <v>0</v>
      </c>
      <c r="V398" s="145">
        <f>SUM(V399:V399)</f>
        <v>0</v>
      </c>
      <c r="W398" s="145">
        <f>SUM(W399:W399)</f>
        <v>0</v>
      </c>
      <c r="X398" s="145">
        <f>SUM(X399:X399)</f>
        <v>0</v>
      </c>
      <c r="Y398" s="145"/>
      <c r="Z398" s="145">
        <f>SUM(Z399:Z399)</f>
        <v>0</v>
      </c>
      <c r="AA398" s="145">
        <f>SUM(AA399:AA399)</f>
        <v>0</v>
      </c>
      <c r="AB398" s="145">
        <f>SUM(AB399:AB399)</f>
        <v>0</v>
      </c>
      <c r="AC398" s="146">
        <f>SUM(AC399:AC399)</f>
        <v>0</v>
      </c>
      <c r="AD398" s="33">
        <v>0</v>
      </c>
      <c r="AE398" s="33">
        <f>SUM(AE399:AE399)</f>
        <v>0</v>
      </c>
      <c r="AF398" s="127"/>
    </row>
    <row r="399" spans="1:33" outlineLevel="1" x14ac:dyDescent="0.25">
      <c r="A399" s="4" t="s">
        <v>380</v>
      </c>
      <c r="B399" s="75" t="s">
        <v>495</v>
      </c>
      <c r="C399" s="25"/>
      <c r="D399" s="92">
        <v>1</v>
      </c>
      <c r="E399" s="110">
        <v>3000</v>
      </c>
      <c r="F399" s="93">
        <f>D399*E399</f>
        <v>3000</v>
      </c>
      <c r="G399" s="74">
        <f t="shared" si="188"/>
        <v>0</v>
      </c>
      <c r="H399" s="95">
        <f t="shared" si="220"/>
        <v>3000</v>
      </c>
      <c r="I399" s="112"/>
      <c r="J399" s="57"/>
      <c r="K399" s="57"/>
      <c r="L399" s="57"/>
      <c r="M399" s="57"/>
      <c r="N399" s="57"/>
      <c r="O399" s="57"/>
      <c r="P399" s="68"/>
      <c r="Q399" s="58">
        <v>3000</v>
      </c>
      <c r="R399" s="170">
        <f>P399*Q399</f>
        <v>0</v>
      </c>
      <c r="S399" s="89">
        <f t="shared" si="216"/>
        <v>0</v>
      </c>
      <c r="T399" s="216">
        <f t="shared" si="217"/>
        <v>0</v>
      </c>
      <c r="U399" s="147"/>
      <c r="V399" s="148"/>
      <c r="W399" s="148"/>
      <c r="X399" s="148"/>
      <c r="Y399" s="148"/>
      <c r="Z399" s="148"/>
      <c r="AA399" s="148"/>
      <c r="AB399" s="149"/>
      <c r="AC399" s="150"/>
      <c r="AD399" s="76"/>
      <c r="AE399" s="76"/>
      <c r="AF399" s="128"/>
    </row>
    <row r="400" spans="1:33" s="2" customFormat="1" ht="21" x14ac:dyDescent="0.35">
      <c r="A400" s="8" t="s">
        <v>393</v>
      </c>
      <c r="B400" s="12" t="s">
        <v>343</v>
      </c>
      <c r="C400" s="21"/>
      <c r="D400" s="22"/>
      <c r="E400" s="15"/>
      <c r="F400" s="84">
        <f>F401+F414+F406+F418+F426+F431</f>
        <v>62930</v>
      </c>
      <c r="G400" s="89">
        <f t="shared" si="188"/>
        <v>0</v>
      </c>
      <c r="H400" s="16">
        <f t="shared" si="220"/>
        <v>62930</v>
      </c>
      <c r="I400" s="51">
        <f t="shared" ref="I400:Q400" si="221">I401+I414+I406+I418+I426+I431</f>
        <v>3520</v>
      </c>
      <c r="J400" s="51">
        <f t="shared" si="221"/>
        <v>8950</v>
      </c>
      <c r="K400" s="51">
        <f t="shared" si="221"/>
        <v>20425</v>
      </c>
      <c r="L400" s="51">
        <f t="shared" si="221"/>
        <v>0</v>
      </c>
      <c r="M400" s="51">
        <f t="shared" si="221"/>
        <v>20075</v>
      </c>
      <c r="N400" s="51">
        <f t="shared" si="221"/>
        <v>0</v>
      </c>
      <c r="O400" s="51">
        <f t="shared" si="221"/>
        <v>0</v>
      </c>
      <c r="P400" s="51">
        <f t="shared" si="221"/>
        <v>0</v>
      </c>
      <c r="Q400" s="59">
        <f t="shared" si="221"/>
        <v>9960</v>
      </c>
      <c r="R400" s="168">
        <f>R401+R414+R406+R418+R426+R431</f>
        <v>2626.9</v>
      </c>
      <c r="S400" s="89">
        <f t="shared" si="216"/>
        <v>4001.1</v>
      </c>
      <c r="T400" s="216">
        <f t="shared" si="217"/>
        <v>6628</v>
      </c>
      <c r="U400" s="144">
        <f>U401+U414+U406+U418+U426+U431</f>
        <v>0</v>
      </c>
      <c r="V400" s="144">
        <v>628</v>
      </c>
      <c r="W400" s="144">
        <v>6000</v>
      </c>
      <c r="X400" s="144">
        <f t="shared" ref="X400:AC400" si="222">X401+X414+X406+X418+X426+X431</f>
        <v>0</v>
      </c>
      <c r="Y400" s="144">
        <f t="shared" si="222"/>
        <v>0</v>
      </c>
      <c r="Z400" s="144">
        <f t="shared" si="222"/>
        <v>0</v>
      </c>
      <c r="AA400" s="144">
        <f t="shared" si="222"/>
        <v>0</v>
      </c>
      <c r="AB400" s="144">
        <f t="shared" si="222"/>
        <v>0</v>
      </c>
      <c r="AC400" s="151">
        <f t="shared" si="222"/>
        <v>0</v>
      </c>
      <c r="AD400" s="32">
        <f>+AD401+AD406+AD414+AD418+AD426+AD431</f>
        <v>89125</v>
      </c>
      <c r="AE400" s="122">
        <f>AE401+AE414+AE406+AE418+AE426+AE431</f>
        <v>60125.89</v>
      </c>
      <c r="AF400" s="126">
        <f>AE400*100/AD400</f>
        <v>67.462429172510525</v>
      </c>
      <c r="AG400" s="121"/>
    </row>
    <row r="401" spans="1:32" s="3" customFormat="1" ht="15.75" x14ac:dyDescent="0.25">
      <c r="A401" s="7" t="s">
        <v>394</v>
      </c>
      <c r="B401" s="13" t="s">
        <v>265</v>
      </c>
      <c r="C401" s="23"/>
      <c r="D401" s="24"/>
      <c r="E401" s="17"/>
      <c r="F401" s="82">
        <f>SUM(F402:F405)</f>
        <v>1500</v>
      </c>
      <c r="G401" s="89">
        <f t="shared" si="188"/>
        <v>0</v>
      </c>
      <c r="H401" s="18">
        <f t="shared" si="220"/>
        <v>1500</v>
      </c>
      <c r="I401" s="54">
        <f t="shared" ref="I401:Q401" si="223">SUM(I402:I405)</f>
        <v>1000</v>
      </c>
      <c r="J401" s="55">
        <f t="shared" si="223"/>
        <v>0</v>
      </c>
      <c r="K401" s="55">
        <f t="shared" si="223"/>
        <v>0</v>
      </c>
      <c r="L401" s="55">
        <f t="shared" si="223"/>
        <v>0</v>
      </c>
      <c r="M401" s="55">
        <f>SUM(M402:M405)</f>
        <v>500</v>
      </c>
      <c r="N401" s="55">
        <f t="shared" si="223"/>
        <v>0</v>
      </c>
      <c r="O401" s="55">
        <f t="shared" si="223"/>
        <v>0</v>
      </c>
      <c r="P401" s="55">
        <f t="shared" si="223"/>
        <v>0</v>
      </c>
      <c r="Q401" s="56">
        <f t="shared" si="223"/>
        <v>0</v>
      </c>
      <c r="R401" s="169">
        <f>SUM(R402:R405)</f>
        <v>88.38</v>
      </c>
      <c r="S401" s="89">
        <f t="shared" si="216"/>
        <v>-88.38</v>
      </c>
      <c r="T401" s="216">
        <f t="shared" si="217"/>
        <v>0</v>
      </c>
      <c r="U401" s="144">
        <f t="shared" ref="U401:AC401" si="224">SUM(U402:U405)</f>
        <v>0</v>
      </c>
      <c r="V401" s="145">
        <f t="shared" si="224"/>
        <v>0</v>
      </c>
      <c r="W401" s="145">
        <f t="shared" si="224"/>
        <v>0</v>
      </c>
      <c r="X401" s="145">
        <f t="shared" si="224"/>
        <v>0</v>
      </c>
      <c r="Y401" s="145">
        <f t="shared" si="224"/>
        <v>0</v>
      </c>
      <c r="Z401" s="145">
        <f t="shared" si="224"/>
        <v>0</v>
      </c>
      <c r="AA401" s="145">
        <f t="shared" si="224"/>
        <v>0</v>
      </c>
      <c r="AB401" s="145">
        <f t="shared" si="224"/>
        <v>0</v>
      </c>
      <c r="AC401" s="146">
        <f t="shared" si="224"/>
        <v>0</v>
      </c>
      <c r="AD401" s="33">
        <v>3000</v>
      </c>
      <c r="AE401" s="33">
        <v>2050.5100000000002</v>
      </c>
      <c r="AF401" s="127">
        <f>AE401*100/AD401</f>
        <v>68.350333333333339</v>
      </c>
    </row>
    <row r="402" spans="1:32" outlineLevel="1" x14ac:dyDescent="0.25">
      <c r="A402" s="5" t="s">
        <v>395</v>
      </c>
      <c r="B402" s="75" t="s">
        <v>281</v>
      </c>
      <c r="C402" s="25"/>
      <c r="D402" s="92">
        <v>1</v>
      </c>
      <c r="E402" s="110">
        <v>200</v>
      </c>
      <c r="F402" s="93">
        <f>D402*E402</f>
        <v>200</v>
      </c>
      <c r="G402" s="74">
        <f t="shared" si="188"/>
        <v>0</v>
      </c>
      <c r="H402" s="95">
        <f t="shared" si="220"/>
        <v>200</v>
      </c>
      <c r="I402" s="112">
        <v>200</v>
      </c>
      <c r="J402" s="57"/>
      <c r="K402" s="57"/>
      <c r="L402" s="57"/>
      <c r="M402" s="57"/>
      <c r="N402" s="57"/>
      <c r="O402" s="57"/>
      <c r="P402" s="68"/>
      <c r="Q402" s="58"/>
      <c r="R402" s="170">
        <f>P402*Q402</f>
        <v>0</v>
      </c>
      <c r="S402" s="89">
        <f t="shared" si="216"/>
        <v>0</v>
      </c>
      <c r="T402" s="216">
        <f t="shared" si="217"/>
        <v>0</v>
      </c>
      <c r="U402" s="147"/>
      <c r="V402" s="148"/>
      <c r="W402" s="148"/>
      <c r="X402" s="148"/>
      <c r="Y402" s="148"/>
      <c r="Z402" s="148"/>
      <c r="AA402" s="148"/>
      <c r="AB402" s="149"/>
      <c r="AC402" s="150"/>
      <c r="AD402" s="76"/>
      <c r="AE402" s="76"/>
      <c r="AF402" s="128"/>
    </row>
    <row r="403" spans="1:32" outlineLevel="1" x14ac:dyDescent="0.25">
      <c r="A403" s="4" t="s">
        <v>396</v>
      </c>
      <c r="B403" s="75" t="s">
        <v>309</v>
      </c>
      <c r="C403" s="25"/>
      <c r="D403" s="92">
        <v>4</v>
      </c>
      <c r="E403" s="110">
        <v>100</v>
      </c>
      <c r="F403" s="93">
        <f>D403*E403</f>
        <v>400</v>
      </c>
      <c r="G403" s="74">
        <f t="shared" si="188"/>
        <v>0</v>
      </c>
      <c r="H403" s="95">
        <f t="shared" si="220"/>
        <v>400</v>
      </c>
      <c r="I403" s="112">
        <v>400</v>
      </c>
      <c r="J403" s="57"/>
      <c r="K403" s="57"/>
      <c r="L403" s="57"/>
      <c r="M403" s="57"/>
      <c r="N403" s="57"/>
      <c r="O403" s="57"/>
      <c r="P403" s="68"/>
      <c r="Q403" s="58"/>
      <c r="R403" s="170">
        <f>P403*Q403</f>
        <v>0</v>
      </c>
      <c r="S403" s="89">
        <f t="shared" si="216"/>
        <v>0</v>
      </c>
      <c r="T403" s="216">
        <f t="shared" si="217"/>
        <v>0</v>
      </c>
      <c r="U403" s="147"/>
      <c r="V403" s="148"/>
      <c r="W403" s="148"/>
      <c r="X403" s="148"/>
      <c r="Y403" s="148"/>
      <c r="Z403" s="148"/>
      <c r="AA403" s="148"/>
      <c r="AB403" s="149"/>
      <c r="AC403" s="150"/>
      <c r="AD403" s="76"/>
      <c r="AE403" s="76"/>
      <c r="AF403" s="128"/>
    </row>
    <row r="404" spans="1:32" outlineLevel="1" x14ac:dyDescent="0.25">
      <c r="A404" s="4" t="s">
        <v>397</v>
      </c>
      <c r="B404" s="75" t="s">
        <v>285</v>
      </c>
      <c r="C404" s="25"/>
      <c r="D404" s="92">
        <v>4</v>
      </c>
      <c r="E404" s="110">
        <v>100</v>
      </c>
      <c r="F404" s="93">
        <f>D404*E404</f>
        <v>400</v>
      </c>
      <c r="G404" s="74">
        <f t="shared" ref="G404:G469" si="225">H404-F404</f>
        <v>0</v>
      </c>
      <c r="H404" s="95">
        <f t="shared" si="220"/>
        <v>400</v>
      </c>
      <c r="I404" s="112">
        <v>400</v>
      </c>
      <c r="J404" s="57"/>
      <c r="K404" s="57"/>
      <c r="L404" s="57"/>
      <c r="M404" s="57"/>
      <c r="N404" s="57"/>
      <c r="O404" s="57"/>
      <c r="P404" s="68"/>
      <c r="Q404" s="58"/>
      <c r="R404" s="170">
        <v>81.72</v>
      </c>
      <c r="S404" s="89">
        <f t="shared" si="216"/>
        <v>-81.72</v>
      </c>
      <c r="T404" s="216">
        <f t="shared" si="217"/>
        <v>0</v>
      </c>
      <c r="U404" s="147"/>
      <c r="V404" s="148"/>
      <c r="W404" s="148"/>
      <c r="X404" s="148"/>
      <c r="Y404" s="148"/>
      <c r="Z404" s="148"/>
      <c r="AA404" s="148"/>
      <c r="AB404" s="149"/>
      <c r="AC404" s="150"/>
      <c r="AD404" s="76"/>
      <c r="AE404" s="76"/>
      <c r="AF404" s="128"/>
    </row>
    <row r="405" spans="1:32" outlineLevel="1" x14ac:dyDescent="0.25">
      <c r="A405" s="4" t="s">
        <v>398</v>
      </c>
      <c r="B405" s="75" t="s">
        <v>47</v>
      </c>
      <c r="C405" s="25"/>
      <c r="D405" s="92">
        <v>1</v>
      </c>
      <c r="E405" s="110">
        <v>500</v>
      </c>
      <c r="F405" s="93">
        <f>D405*E405</f>
        <v>500</v>
      </c>
      <c r="G405" s="74">
        <f t="shared" si="225"/>
        <v>0</v>
      </c>
      <c r="H405" s="95">
        <f t="shared" si="220"/>
        <v>500</v>
      </c>
      <c r="I405" s="112"/>
      <c r="J405" s="57"/>
      <c r="K405" s="57"/>
      <c r="L405" s="57"/>
      <c r="M405" s="57">
        <v>500</v>
      </c>
      <c r="N405" s="57"/>
      <c r="O405" s="57"/>
      <c r="P405" s="68"/>
      <c r="Q405" s="58"/>
      <c r="R405" s="170">
        <v>6.66</v>
      </c>
      <c r="S405" s="89">
        <f t="shared" si="216"/>
        <v>-6.66</v>
      </c>
      <c r="T405" s="216">
        <f t="shared" si="217"/>
        <v>0</v>
      </c>
      <c r="U405" s="147"/>
      <c r="V405" s="148"/>
      <c r="W405" s="148"/>
      <c r="X405" s="148"/>
      <c r="Y405" s="148"/>
      <c r="Z405" s="148"/>
      <c r="AA405" s="148"/>
      <c r="AB405" s="149"/>
      <c r="AC405" s="150"/>
      <c r="AD405" s="76"/>
      <c r="AE405" s="76"/>
      <c r="AF405" s="128"/>
    </row>
    <row r="406" spans="1:32" s="3" customFormat="1" ht="15.75" x14ac:dyDescent="0.25">
      <c r="A406" s="7" t="s">
        <v>399</v>
      </c>
      <c r="B406" s="13" t="s">
        <v>248</v>
      </c>
      <c r="C406" s="23"/>
      <c r="D406" s="24"/>
      <c r="E406" s="17"/>
      <c r="F406" s="82">
        <f>SUM(F407:F413)</f>
        <v>9950</v>
      </c>
      <c r="G406" s="89">
        <f t="shared" si="225"/>
        <v>0</v>
      </c>
      <c r="H406" s="18">
        <f t="shared" si="220"/>
        <v>9950</v>
      </c>
      <c r="I406" s="54">
        <f t="shared" ref="I406:Q406" si="226">SUM(I407:I413)</f>
        <v>0</v>
      </c>
      <c r="J406" s="55">
        <f t="shared" si="226"/>
        <v>8950</v>
      </c>
      <c r="K406" s="55">
        <f t="shared" si="226"/>
        <v>0</v>
      </c>
      <c r="L406" s="55">
        <f t="shared" si="226"/>
        <v>0</v>
      </c>
      <c r="M406" s="55">
        <f t="shared" si="226"/>
        <v>1000</v>
      </c>
      <c r="N406" s="55">
        <f t="shared" si="226"/>
        <v>0</v>
      </c>
      <c r="O406" s="55">
        <f t="shared" si="226"/>
        <v>0</v>
      </c>
      <c r="P406" s="55">
        <f t="shared" si="226"/>
        <v>0</v>
      </c>
      <c r="Q406" s="56">
        <f t="shared" si="226"/>
        <v>0</v>
      </c>
      <c r="R406" s="169">
        <f>SUM(R407:R413)</f>
        <v>436.98</v>
      </c>
      <c r="S406" s="89">
        <f t="shared" si="216"/>
        <v>-436.98</v>
      </c>
      <c r="T406" s="216">
        <f t="shared" si="217"/>
        <v>0</v>
      </c>
      <c r="U406" s="144">
        <f>SUM(U407:U413)</f>
        <v>0</v>
      </c>
      <c r="V406" s="145">
        <f t="shared" ref="V406:AC406" si="227">SUM(V407:V413)</f>
        <v>0</v>
      </c>
      <c r="W406" s="145">
        <f t="shared" si="227"/>
        <v>0</v>
      </c>
      <c r="X406" s="145">
        <f t="shared" si="227"/>
        <v>0</v>
      </c>
      <c r="Y406" s="145">
        <f t="shared" si="227"/>
        <v>0</v>
      </c>
      <c r="Z406" s="145">
        <f t="shared" si="227"/>
        <v>0</v>
      </c>
      <c r="AA406" s="145">
        <f t="shared" si="227"/>
        <v>0</v>
      </c>
      <c r="AB406" s="145">
        <f t="shared" si="227"/>
        <v>0</v>
      </c>
      <c r="AC406" s="146">
        <f t="shared" si="227"/>
        <v>0</v>
      </c>
      <c r="AD406" s="33">
        <v>8500</v>
      </c>
      <c r="AE406" s="33">
        <f>33.63+1013.05+946.28+522.6+3320.82</f>
        <v>5836.38</v>
      </c>
      <c r="AF406" s="127">
        <f>AE406*100/AD406</f>
        <v>68.663294117647055</v>
      </c>
    </row>
    <row r="407" spans="1:32" outlineLevel="1" x14ac:dyDescent="0.25">
      <c r="A407" s="4" t="s">
        <v>400</v>
      </c>
      <c r="B407" s="75" t="s">
        <v>382</v>
      </c>
      <c r="C407" s="25"/>
      <c r="D407" s="92">
        <v>1</v>
      </c>
      <c r="E407" s="110">
        <v>5000</v>
      </c>
      <c r="F407" s="93">
        <f t="shared" ref="F407:F413" si="228">D407*E407</f>
        <v>5000</v>
      </c>
      <c r="G407" s="74">
        <f t="shared" si="225"/>
        <v>0</v>
      </c>
      <c r="H407" s="95">
        <f t="shared" si="220"/>
        <v>5000</v>
      </c>
      <c r="I407" s="112"/>
      <c r="J407" s="57">
        <v>5000</v>
      </c>
      <c r="K407" s="57"/>
      <c r="L407" s="57"/>
      <c r="M407" s="57"/>
      <c r="N407" s="57"/>
      <c r="O407" s="57"/>
      <c r="P407" s="68"/>
      <c r="Q407" s="58"/>
      <c r="R407" s="170">
        <f t="shared" ref="R407:R412" si="229">P407*Q407</f>
        <v>0</v>
      </c>
      <c r="S407" s="89">
        <f t="shared" si="216"/>
        <v>0</v>
      </c>
      <c r="T407" s="216">
        <f t="shared" si="217"/>
        <v>0</v>
      </c>
      <c r="U407" s="147"/>
      <c r="V407" s="148"/>
      <c r="W407" s="148"/>
      <c r="X407" s="148"/>
      <c r="Y407" s="148"/>
      <c r="Z407" s="148"/>
      <c r="AA407" s="148"/>
      <c r="AB407" s="149"/>
      <c r="AC407" s="150"/>
      <c r="AD407" s="76"/>
      <c r="AE407" s="76"/>
      <c r="AF407" s="128"/>
    </row>
    <row r="408" spans="1:32" outlineLevel="1" x14ac:dyDescent="0.25">
      <c r="A408" s="6" t="s">
        <v>401</v>
      </c>
      <c r="B408" s="75" t="s">
        <v>383</v>
      </c>
      <c r="C408" s="25"/>
      <c r="D408" s="92">
        <v>1</v>
      </c>
      <c r="E408" s="110">
        <v>750</v>
      </c>
      <c r="F408" s="93">
        <f t="shared" si="228"/>
        <v>750</v>
      </c>
      <c r="G408" s="74">
        <f t="shared" si="225"/>
        <v>0</v>
      </c>
      <c r="H408" s="95">
        <f t="shared" si="220"/>
        <v>750</v>
      </c>
      <c r="I408" s="112"/>
      <c r="J408" s="57">
        <v>750</v>
      </c>
      <c r="K408" s="57"/>
      <c r="L408" s="57"/>
      <c r="M408" s="57"/>
      <c r="N408" s="57"/>
      <c r="O408" s="57"/>
      <c r="P408" s="68"/>
      <c r="Q408" s="58"/>
      <c r="R408" s="170">
        <f t="shared" si="229"/>
        <v>0</v>
      </c>
      <c r="S408" s="89">
        <f t="shared" si="216"/>
        <v>0</v>
      </c>
      <c r="T408" s="216">
        <f t="shared" si="217"/>
        <v>0</v>
      </c>
      <c r="U408" s="147"/>
      <c r="V408" s="148"/>
      <c r="W408" s="148"/>
      <c r="X408" s="148"/>
      <c r="Y408" s="148"/>
      <c r="Z408" s="148"/>
      <c r="AA408" s="148"/>
      <c r="AB408" s="149"/>
      <c r="AC408" s="150"/>
      <c r="AD408" s="76"/>
      <c r="AE408" s="76"/>
      <c r="AF408" s="128"/>
    </row>
    <row r="409" spans="1:32" outlineLevel="1" x14ac:dyDescent="0.25">
      <c r="A409" s="6" t="s">
        <v>402</v>
      </c>
      <c r="B409" s="75" t="s">
        <v>384</v>
      </c>
      <c r="C409" s="25"/>
      <c r="D409" s="92">
        <v>1</v>
      </c>
      <c r="E409" s="110">
        <v>400</v>
      </c>
      <c r="F409" s="93">
        <f t="shared" si="228"/>
        <v>400</v>
      </c>
      <c r="G409" s="74">
        <f t="shared" si="225"/>
        <v>0</v>
      </c>
      <c r="H409" s="95">
        <f t="shared" si="220"/>
        <v>400</v>
      </c>
      <c r="I409" s="112"/>
      <c r="J409" s="57">
        <v>400</v>
      </c>
      <c r="K409" s="57"/>
      <c r="L409" s="57"/>
      <c r="M409" s="57"/>
      <c r="N409" s="57"/>
      <c r="O409" s="57"/>
      <c r="P409" s="68"/>
      <c r="Q409" s="58"/>
      <c r="R409" s="170">
        <f t="shared" si="229"/>
        <v>0</v>
      </c>
      <c r="S409" s="89">
        <f t="shared" si="216"/>
        <v>0</v>
      </c>
      <c r="T409" s="216">
        <f t="shared" si="217"/>
        <v>0</v>
      </c>
      <c r="U409" s="147"/>
      <c r="V409" s="148"/>
      <c r="W409" s="148"/>
      <c r="X409" s="148"/>
      <c r="Y409" s="148"/>
      <c r="Z409" s="148"/>
      <c r="AA409" s="148"/>
      <c r="AB409" s="149"/>
      <c r="AC409" s="150"/>
      <c r="AD409" s="76"/>
      <c r="AE409" s="76"/>
      <c r="AF409" s="128"/>
    </row>
    <row r="410" spans="1:32" outlineLevel="1" x14ac:dyDescent="0.25">
      <c r="A410" s="6" t="s">
        <v>815</v>
      </c>
      <c r="B410" s="75" t="s">
        <v>385</v>
      </c>
      <c r="C410" s="25"/>
      <c r="D410" s="92">
        <v>1</v>
      </c>
      <c r="E410" s="110">
        <v>1000</v>
      </c>
      <c r="F410" s="93">
        <f>D410*E410</f>
        <v>1000</v>
      </c>
      <c r="G410" s="74">
        <f t="shared" si="225"/>
        <v>0</v>
      </c>
      <c r="H410" s="95">
        <f t="shared" si="220"/>
        <v>1000</v>
      </c>
      <c r="I410" s="112"/>
      <c r="J410" s="57">
        <v>1000</v>
      </c>
      <c r="K410" s="57"/>
      <c r="L410" s="57"/>
      <c r="M410" s="57"/>
      <c r="N410" s="57"/>
      <c r="O410" s="57"/>
      <c r="P410" s="68"/>
      <c r="Q410" s="58"/>
      <c r="R410" s="170">
        <f>P410*Q410</f>
        <v>0</v>
      </c>
      <c r="S410" s="89">
        <f t="shared" si="216"/>
        <v>0</v>
      </c>
      <c r="T410" s="216">
        <f t="shared" si="217"/>
        <v>0</v>
      </c>
      <c r="U410" s="147"/>
      <c r="V410" s="148"/>
      <c r="W410" s="148"/>
      <c r="X410" s="148"/>
      <c r="Y410" s="148"/>
      <c r="Z410" s="148"/>
      <c r="AA410" s="148"/>
      <c r="AB410" s="149"/>
      <c r="AC410" s="150"/>
      <c r="AD410" s="76"/>
      <c r="AE410" s="76"/>
      <c r="AF410" s="128"/>
    </row>
    <row r="411" spans="1:32" outlineLevel="1" x14ac:dyDescent="0.25">
      <c r="A411" s="6" t="s">
        <v>816</v>
      </c>
      <c r="B411" s="75" t="s">
        <v>386</v>
      </c>
      <c r="C411" s="25"/>
      <c r="D411" s="92">
        <v>1</v>
      </c>
      <c r="E411" s="110">
        <v>900</v>
      </c>
      <c r="F411" s="93">
        <f>D411*E411</f>
        <v>900</v>
      </c>
      <c r="G411" s="74">
        <f t="shared" si="225"/>
        <v>0</v>
      </c>
      <c r="H411" s="95">
        <f t="shared" si="220"/>
        <v>900</v>
      </c>
      <c r="I411" s="112"/>
      <c r="J411" s="57">
        <v>900</v>
      </c>
      <c r="K411" s="57"/>
      <c r="L411" s="57"/>
      <c r="M411" s="57"/>
      <c r="N411" s="57"/>
      <c r="O411" s="57"/>
      <c r="P411" s="68"/>
      <c r="Q411" s="58"/>
      <c r="R411" s="170">
        <f>P411*Q411</f>
        <v>0</v>
      </c>
      <c r="S411" s="89">
        <f t="shared" si="216"/>
        <v>0</v>
      </c>
      <c r="T411" s="216">
        <f t="shared" si="217"/>
        <v>0</v>
      </c>
      <c r="U411" s="147"/>
      <c r="V411" s="148"/>
      <c r="W411" s="148"/>
      <c r="X411" s="148"/>
      <c r="Y411" s="148"/>
      <c r="Z411" s="148"/>
      <c r="AA411" s="148"/>
      <c r="AB411" s="149"/>
      <c r="AC411" s="150"/>
      <c r="AD411" s="76"/>
      <c r="AE411" s="76"/>
      <c r="AF411" s="128"/>
    </row>
    <row r="412" spans="1:32" outlineLevel="1" x14ac:dyDescent="0.25">
      <c r="A412" s="6" t="s">
        <v>817</v>
      </c>
      <c r="B412" s="75" t="s">
        <v>387</v>
      </c>
      <c r="C412" s="25"/>
      <c r="D412" s="92">
        <v>1</v>
      </c>
      <c r="E412" s="110">
        <v>900</v>
      </c>
      <c r="F412" s="93">
        <f t="shared" si="228"/>
        <v>900</v>
      </c>
      <c r="G412" s="74">
        <f t="shared" si="225"/>
        <v>0</v>
      </c>
      <c r="H412" s="95">
        <f t="shared" si="220"/>
        <v>900</v>
      </c>
      <c r="I412" s="112"/>
      <c r="J412" s="57">
        <v>900</v>
      </c>
      <c r="K412" s="57"/>
      <c r="L412" s="57"/>
      <c r="M412" s="57"/>
      <c r="N412" s="57"/>
      <c r="O412" s="57"/>
      <c r="P412" s="68"/>
      <c r="Q412" s="58"/>
      <c r="R412" s="170">
        <f t="shared" si="229"/>
        <v>0</v>
      </c>
      <c r="S412" s="89">
        <f t="shared" si="216"/>
        <v>0</v>
      </c>
      <c r="T412" s="216">
        <f t="shared" si="217"/>
        <v>0</v>
      </c>
      <c r="U412" s="147"/>
      <c r="V412" s="148"/>
      <c r="W412" s="148"/>
      <c r="X412" s="148"/>
      <c r="Y412" s="148"/>
      <c r="Z412" s="148"/>
      <c r="AA412" s="148"/>
      <c r="AB412" s="149"/>
      <c r="AC412" s="150"/>
      <c r="AD412" s="76"/>
      <c r="AE412" s="76"/>
      <c r="AF412" s="128"/>
    </row>
    <row r="413" spans="1:32" outlineLevel="1" x14ac:dyDescent="0.25">
      <c r="A413" s="4" t="s">
        <v>818</v>
      </c>
      <c r="B413" s="75" t="s">
        <v>47</v>
      </c>
      <c r="C413" s="25"/>
      <c r="D413" s="92">
        <v>1</v>
      </c>
      <c r="E413" s="110">
        <v>1000</v>
      </c>
      <c r="F413" s="93">
        <f t="shared" si="228"/>
        <v>1000</v>
      </c>
      <c r="G413" s="74">
        <f t="shared" si="225"/>
        <v>0</v>
      </c>
      <c r="H413" s="95">
        <f t="shared" si="220"/>
        <v>1000</v>
      </c>
      <c r="I413" s="112"/>
      <c r="J413" s="57"/>
      <c r="K413" s="57"/>
      <c r="L413" s="57"/>
      <c r="M413" s="57">
        <v>1000</v>
      </c>
      <c r="N413" s="57"/>
      <c r="O413" s="57"/>
      <c r="P413" s="68"/>
      <c r="Q413" s="58"/>
      <c r="R413" s="170">
        <v>436.98</v>
      </c>
      <c r="S413" s="89">
        <f t="shared" si="216"/>
        <v>-436.98</v>
      </c>
      <c r="T413" s="216">
        <f t="shared" si="217"/>
        <v>0</v>
      </c>
      <c r="U413" s="147"/>
      <c r="V413" s="148"/>
      <c r="W413" s="148"/>
      <c r="X413" s="148"/>
      <c r="Y413" s="148"/>
      <c r="Z413" s="148"/>
      <c r="AA413" s="148"/>
      <c r="AB413" s="149"/>
      <c r="AC413" s="150"/>
      <c r="AD413" s="76"/>
      <c r="AE413" s="76"/>
      <c r="AF413" s="128"/>
    </row>
    <row r="414" spans="1:32" s="3" customFormat="1" ht="15.75" x14ac:dyDescent="0.25">
      <c r="A414" s="7" t="s">
        <v>403</v>
      </c>
      <c r="B414" s="13" t="s">
        <v>388</v>
      </c>
      <c r="C414" s="23"/>
      <c r="D414" s="24"/>
      <c r="E414" s="17"/>
      <c r="F414" s="82">
        <f>SUM(F415:F417)</f>
        <v>15000</v>
      </c>
      <c r="G414" s="89">
        <f>H414-F414</f>
        <v>0</v>
      </c>
      <c r="H414" s="18">
        <f t="shared" si="220"/>
        <v>15000</v>
      </c>
      <c r="I414" s="54">
        <f t="shared" ref="I414:Q414" si="230">SUM(I415:I417)</f>
        <v>2000</v>
      </c>
      <c r="J414" s="55">
        <f t="shared" si="230"/>
        <v>0</v>
      </c>
      <c r="K414" s="55">
        <f t="shared" si="230"/>
        <v>7985</v>
      </c>
      <c r="L414" s="55">
        <f t="shared" si="230"/>
        <v>0</v>
      </c>
      <c r="M414" s="55">
        <f t="shared" si="230"/>
        <v>5015</v>
      </c>
      <c r="N414" s="55">
        <f t="shared" si="230"/>
        <v>0</v>
      </c>
      <c r="O414" s="55">
        <f t="shared" si="230"/>
        <v>0</v>
      </c>
      <c r="P414" s="55">
        <f t="shared" si="230"/>
        <v>0</v>
      </c>
      <c r="Q414" s="56">
        <f t="shared" si="230"/>
        <v>0</v>
      </c>
      <c r="R414" s="169">
        <f>SUM(R415:R417)</f>
        <v>169.12</v>
      </c>
      <c r="S414" s="89">
        <f t="shared" si="216"/>
        <v>-169.12</v>
      </c>
      <c r="T414" s="216">
        <f t="shared" si="217"/>
        <v>0</v>
      </c>
      <c r="U414" s="144">
        <f>SUM(U415:U417)</f>
        <v>0</v>
      </c>
      <c r="V414" s="145">
        <f t="shared" ref="V414:AC414" si="231">SUM(V415:V417)</f>
        <v>0</v>
      </c>
      <c r="W414" s="145">
        <f t="shared" si="231"/>
        <v>0</v>
      </c>
      <c r="X414" s="145">
        <f t="shared" si="231"/>
        <v>0</v>
      </c>
      <c r="Y414" s="145">
        <f t="shared" si="231"/>
        <v>0</v>
      </c>
      <c r="Z414" s="145">
        <f t="shared" si="231"/>
        <v>0</v>
      </c>
      <c r="AA414" s="145">
        <f t="shared" si="231"/>
        <v>0</v>
      </c>
      <c r="AB414" s="145">
        <f t="shared" si="231"/>
        <v>0</v>
      </c>
      <c r="AC414" s="146">
        <f t="shared" si="231"/>
        <v>0</v>
      </c>
      <c r="AD414" s="33">
        <v>11000</v>
      </c>
      <c r="AE414" s="33">
        <v>11223.26</v>
      </c>
      <c r="AF414" s="127">
        <f>AE414*100/AD414</f>
        <v>102.02963636363636</v>
      </c>
    </row>
    <row r="415" spans="1:32" outlineLevel="1" x14ac:dyDescent="0.25">
      <c r="A415" s="4" t="s">
        <v>404</v>
      </c>
      <c r="B415" s="75" t="s">
        <v>391</v>
      </c>
      <c r="C415" s="25"/>
      <c r="D415" s="92">
        <v>1</v>
      </c>
      <c r="E415" s="110">
        <v>10000</v>
      </c>
      <c r="F415" s="93">
        <f>D415*E415</f>
        <v>10000</v>
      </c>
      <c r="G415" s="74">
        <f>H415-F415</f>
        <v>0</v>
      </c>
      <c r="H415" s="95">
        <f t="shared" si="220"/>
        <v>10000</v>
      </c>
      <c r="I415" s="112">
        <v>2000</v>
      </c>
      <c r="J415" s="57"/>
      <c r="K415" s="57">
        <f>6300*0.95</f>
        <v>5985</v>
      </c>
      <c r="L415" s="57"/>
      <c r="M415" s="57">
        <f>2645-630</f>
        <v>2015</v>
      </c>
      <c r="N415" s="57"/>
      <c r="O415" s="57"/>
      <c r="P415" s="68"/>
      <c r="Q415" s="58"/>
      <c r="R415" s="170">
        <v>169.12</v>
      </c>
      <c r="S415" s="89">
        <f t="shared" si="216"/>
        <v>-169.12</v>
      </c>
      <c r="T415" s="216">
        <f t="shared" si="217"/>
        <v>0</v>
      </c>
      <c r="U415" s="147"/>
      <c r="V415" s="148"/>
      <c r="W415" s="148"/>
      <c r="X415" s="148"/>
      <c r="Y415" s="148"/>
      <c r="Z415" s="148"/>
      <c r="AA415" s="148"/>
      <c r="AB415" s="149"/>
      <c r="AC415" s="150"/>
      <c r="AD415" s="76"/>
      <c r="AE415" s="76"/>
      <c r="AF415" s="128"/>
    </row>
    <row r="416" spans="1:32" outlineLevel="1" x14ac:dyDescent="0.25">
      <c r="A416" s="4" t="s">
        <v>405</v>
      </c>
      <c r="B416" s="75" t="s">
        <v>875</v>
      </c>
      <c r="C416" s="25"/>
      <c r="D416" s="92">
        <v>1</v>
      </c>
      <c r="E416" s="110">
        <v>3000</v>
      </c>
      <c r="F416" s="93">
        <f>D416*E416</f>
        <v>3000</v>
      </c>
      <c r="G416" s="74">
        <f>H416-F416</f>
        <v>0</v>
      </c>
      <c r="H416" s="95">
        <f t="shared" si="220"/>
        <v>3000</v>
      </c>
      <c r="I416" s="112"/>
      <c r="J416" s="57"/>
      <c r="K416" s="57"/>
      <c r="L416" s="57"/>
      <c r="M416" s="57">
        <v>3000</v>
      </c>
      <c r="N416" s="57"/>
      <c r="O416" s="57"/>
      <c r="P416" s="68"/>
      <c r="Q416" s="58"/>
      <c r="R416" s="170">
        <f>P416*Q416</f>
        <v>0</v>
      </c>
      <c r="S416" s="89">
        <f t="shared" si="216"/>
        <v>0</v>
      </c>
      <c r="T416" s="216">
        <f t="shared" si="217"/>
        <v>0</v>
      </c>
      <c r="U416" s="147"/>
      <c r="V416" s="148"/>
      <c r="W416" s="148"/>
      <c r="X416" s="148"/>
      <c r="Y416" s="148"/>
      <c r="Z416" s="148"/>
      <c r="AA416" s="148"/>
      <c r="AB416" s="149"/>
      <c r="AC416" s="150"/>
      <c r="AD416" s="76"/>
      <c r="AE416" s="76"/>
      <c r="AF416" s="128"/>
    </row>
    <row r="417" spans="1:32" outlineLevel="1" x14ac:dyDescent="0.25">
      <c r="A417" s="4" t="s">
        <v>412</v>
      </c>
      <c r="B417" s="75" t="s">
        <v>47</v>
      </c>
      <c r="C417" s="25"/>
      <c r="D417" s="92">
        <v>1</v>
      </c>
      <c r="E417" s="110">
        <v>2000</v>
      </c>
      <c r="F417" s="93">
        <f>D417*E417</f>
        <v>2000</v>
      </c>
      <c r="G417" s="74">
        <f>H417-F417</f>
        <v>0</v>
      </c>
      <c r="H417" s="95">
        <f t="shared" si="220"/>
        <v>2000</v>
      </c>
      <c r="I417" s="112"/>
      <c r="J417" s="57"/>
      <c r="K417" s="57">
        <f>3400*0.95-1230</f>
        <v>2000</v>
      </c>
      <c r="L417" s="57"/>
      <c r="M417" s="57"/>
      <c r="N417" s="57"/>
      <c r="O417" s="57"/>
      <c r="P417" s="68"/>
      <c r="Q417" s="58"/>
      <c r="R417" s="170">
        <f>P417*Q417</f>
        <v>0</v>
      </c>
      <c r="S417" s="89">
        <f t="shared" si="216"/>
        <v>0</v>
      </c>
      <c r="T417" s="216">
        <f t="shared" si="217"/>
        <v>0</v>
      </c>
      <c r="U417" s="147"/>
      <c r="V417" s="148"/>
      <c r="W417" s="148"/>
      <c r="X417" s="148"/>
      <c r="Y417" s="148"/>
      <c r="Z417" s="148"/>
      <c r="AA417" s="148"/>
      <c r="AB417" s="149"/>
      <c r="AC417" s="150"/>
      <c r="AD417" s="76"/>
      <c r="AE417" s="76"/>
      <c r="AF417" s="128"/>
    </row>
    <row r="418" spans="1:32" s="3" customFormat="1" ht="15.75" x14ac:dyDescent="0.25">
      <c r="A418" s="7" t="s">
        <v>407</v>
      </c>
      <c r="B418" s="13" t="s">
        <v>250</v>
      </c>
      <c r="C418" s="23"/>
      <c r="D418" s="24"/>
      <c r="E418" s="17"/>
      <c r="F418" s="82">
        <f>SUM(F419:F425)</f>
        <v>18340</v>
      </c>
      <c r="G418" s="89">
        <f t="shared" si="225"/>
        <v>0</v>
      </c>
      <c r="H418" s="18">
        <f t="shared" si="220"/>
        <v>18340</v>
      </c>
      <c r="I418" s="54">
        <f t="shared" ref="I418:Q418" si="232">SUM(I419:I425)</f>
        <v>520</v>
      </c>
      <c r="J418" s="55">
        <f t="shared" si="232"/>
        <v>0</v>
      </c>
      <c r="K418" s="55">
        <f t="shared" si="232"/>
        <v>6930</v>
      </c>
      <c r="L418" s="55">
        <f t="shared" si="232"/>
        <v>0</v>
      </c>
      <c r="M418" s="55">
        <f t="shared" si="232"/>
        <v>5910</v>
      </c>
      <c r="N418" s="55">
        <f t="shared" si="232"/>
        <v>0</v>
      </c>
      <c r="O418" s="55">
        <f t="shared" si="232"/>
        <v>0</v>
      </c>
      <c r="P418" s="55">
        <f t="shared" si="232"/>
        <v>0</v>
      </c>
      <c r="Q418" s="56">
        <f t="shared" si="232"/>
        <v>4980</v>
      </c>
      <c r="R418" s="169">
        <f>SUM(R419:R425)</f>
        <v>850.53</v>
      </c>
      <c r="S418" s="89">
        <f t="shared" si="216"/>
        <v>-850.53</v>
      </c>
      <c r="T418" s="216">
        <f t="shared" si="217"/>
        <v>0</v>
      </c>
      <c r="U418" s="144">
        <f>SUM(U419:U425)</f>
        <v>0</v>
      </c>
      <c r="V418" s="145">
        <f t="shared" ref="V418:AC418" si="233">SUM(V419:V425)</f>
        <v>0</v>
      </c>
      <c r="W418" s="145">
        <f t="shared" si="233"/>
        <v>0</v>
      </c>
      <c r="X418" s="145">
        <f t="shared" si="233"/>
        <v>0</v>
      </c>
      <c r="Y418" s="145">
        <f t="shared" si="233"/>
        <v>0</v>
      </c>
      <c r="Z418" s="145">
        <f t="shared" si="233"/>
        <v>0</v>
      </c>
      <c r="AA418" s="145">
        <f t="shared" si="233"/>
        <v>0</v>
      </c>
      <c r="AB418" s="145">
        <f t="shared" si="233"/>
        <v>0</v>
      </c>
      <c r="AC418" s="146">
        <f t="shared" si="233"/>
        <v>0</v>
      </c>
      <c r="AD418" s="33">
        <v>34725</v>
      </c>
      <c r="AE418" s="33">
        <f>2383.26+77.76+665.13+385.18+430.39+150+3551.38+21049</f>
        <v>28692.1</v>
      </c>
      <c r="AF418" s="127">
        <f>AE418*100/AD418</f>
        <v>82.626637868970477</v>
      </c>
    </row>
    <row r="419" spans="1:32" outlineLevel="1" x14ac:dyDescent="0.25">
      <c r="A419" s="4" t="s">
        <v>408</v>
      </c>
      <c r="B419" s="75" t="s">
        <v>389</v>
      </c>
      <c r="C419" s="25"/>
      <c r="D419" s="92">
        <v>1</v>
      </c>
      <c r="E419" s="110">
        <v>3500</v>
      </c>
      <c r="F419" s="93">
        <f t="shared" ref="F419:F425" si="234">D419*E419</f>
        <v>3500</v>
      </c>
      <c r="G419" s="74">
        <f t="shared" si="225"/>
        <v>0</v>
      </c>
      <c r="H419" s="95">
        <f t="shared" si="220"/>
        <v>3500</v>
      </c>
      <c r="I419" s="112"/>
      <c r="J419" s="57"/>
      <c r="K419" s="57">
        <v>1230</v>
      </c>
      <c r="L419" s="57"/>
      <c r="M419" s="57">
        <f>3500-1230</f>
        <v>2270</v>
      </c>
      <c r="N419" s="57"/>
      <c r="O419" s="57"/>
      <c r="P419" s="68"/>
      <c r="Q419" s="58"/>
      <c r="R419" s="170">
        <f>28.44+39.6</f>
        <v>68.040000000000006</v>
      </c>
      <c r="S419" s="89">
        <f t="shared" si="216"/>
        <v>-68.040000000000006</v>
      </c>
      <c r="T419" s="216">
        <f t="shared" si="217"/>
        <v>0</v>
      </c>
      <c r="U419" s="147"/>
      <c r="V419" s="148"/>
      <c r="W419" s="148"/>
      <c r="X419" s="148"/>
      <c r="Y419" s="148"/>
      <c r="Z419" s="148"/>
      <c r="AA419" s="148"/>
      <c r="AB419" s="149"/>
      <c r="AC419" s="150"/>
      <c r="AD419" s="76"/>
      <c r="AE419" s="76"/>
      <c r="AF419" s="128"/>
    </row>
    <row r="420" spans="1:32" outlineLevel="1" x14ac:dyDescent="0.25">
      <c r="A420" s="4" t="s">
        <v>409</v>
      </c>
      <c r="B420" s="75" t="s">
        <v>390</v>
      </c>
      <c r="C420" s="25"/>
      <c r="D420" s="92">
        <v>1</v>
      </c>
      <c r="E420" s="110">
        <v>500</v>
      </c>
      <c r="F420" s="93">
        <f t="shared" si="234"/>
        <v>500</v>
      </c>
      <c r="G420" s="74">
        <f t="shared" si="225"/>
        <v>0</v>
      </c>
      <c r="H420" s="95">
        <f t="shared" si="220"/>
        <v>500</v>
      </c>
      <c r="I420" s="112"/>
      <c r="J420" s="57"/>
      <c r="K420" s="57"/>
      <c r="L420" s="57"/>
      <c r="M420" s="57">
        <v>500</v>
      </c>
      <c r="N420" s="57"/>
      <c r="O420" s="57"/>
      <c r="P420" s="68"/>
      <c r="Q420" s="58"/>
      <c r="R420" s="170"/>
      <c r="S420" s="89">
        <f t="shared" si="216"/>
        <v>0</v>
      </c>
      <c r="T420" s="216">
        <f t="shared" si="217"/>
        <v>0</v>
      </c>
      <c r="U420" s="147"/>
      <c r="V420" s="148"/>
      <c r="W420" s="148"/>
      <c r="X420" s="148"/>
      <c r="Y420" s="148"/>
      <c r="Z420" s="148"/>
      <c r="AA420" s="148"/>
      <c r="AB420" s="149"/>
      <c r="AC420" s="150"/>
      <c r="AD420" s="76"/>
      <c r="AE420" s="76"/>
      <c r="AF420" s="128"/>
    </row>
    <row r="421" spans="1:32" outlineLevel="1" x14ac:dyDescent="0.25">
      <c r="A421" s="4" t="s">
        <v>410</v>
      </c>
      <c r="B421" s="75" t="s">
        <v>876</v>
      </c>
      <c r="C421" s="25"/>
      <c r="D421" s="92">
        <v>1</v>
      </c>
      <c r="E421" s="110">
        <v>1500</v>
      </c>
      <c r="F421" s="93">
        <f t="shared" si="234"/>
        <v>1500</v>
      </c>
      <c r="G421" s="74">
        <f t="shared" si="225"/>
        <v>0</v>
      </c>
      <c r="H421" s="95">
        <f t="shared" si="220"/>
        <v>1500</v>
      </c>
      <c r="I421" s="112"/>
      <c r="J421" s="57"/>
      <c r="K421" s="57"/>
      <c r="L421" s="57"/>
      <c r="M421" s="57">
        <v>1500</v>
      </c>
      <c r="N421" s="57"/>
      <c r="O421" s="57"/>
      <c r="P421" s="68"/>
      <c r="Q421" s="58"/>
      <c r="R421" s="170">
        <f>P421*Q421</f>
        <v>0</v>
      </c>
      <c r="S421" s="89">
        <f t="shared" si="216"/>
        <v>0</v>
      </c>
      <c r="T421" s="216">
        <f t="shared" si="217"/>
        <v>0</v>
      </c>
      <c r="U421" s="147"/>
      <c r="V421" s="148"/>
      <c r="W421" s="148"/>
      <c r="X421" s="148"/>
      <c r="Y421" s="148"/>
      <c r="Z421" s="148"/>
      <c r="AA421" s="148"/>
      <c r="AB421" s="149"/>
      <c r="AC421" s="150"/>
      <c r="AD421" s="76"/>
      <c r="AE421" s="76"/>
      <c r="AF421" s="128"/>
    </row>
    <row r="422" spans="1:32" outlineLevel="1" x14ac:dyDescent="0.25">
      <c r="A422" s="4" t="s">
        <v>359</v>
      </c>
      <c r="B422" s="75" t="s">
        <v>877</v>
      </c>
      <c r="C422" s="25"/>
      <c r="D422" s="92">
        <v>1</v>
      </c>
      <c r="E422" s="110">
        <v>920</v>
      </c>
      <c r="F422" s="93">
        <f>D422*E422</f>
        <v>920</v>
      </c>
      <c r="G422" s="74">
        <f>H422-F422</f>
        <v>0</v>
      </c>
      <c r="H422" s="95">
        <f t="shared" si="220"/>
        <v>920</v>
      </c>
      <c r="I422" s="112"/>
      <c r="J422" s="57"/>
      <c r="K422" s="57"/>
      <c r="L422" s="57"/>
      <c r="M422" s="57">
        <v>920</v>
      </c>
      <c r="N422" s="57"/>
      <c r="O422" s="57"/>
      <c r="P422" s="68"/>
      <c r="Q422" s="58"/>
      <c r="R422" s="170">
        <f>P422*Q422</f>
        <v>0</v>
      </c>
      <c r="S422" s="89">
        <f t="shared" si="216"/>
        <v>0</v>
      </c>
      <c r="T422" s="216">
        <f t="shared" si="217"/>
        <v>0</v>
      </c>
      <c r="U422" s="147"/>
      <c r="V422" s="148"/>
      <c r="W422" s="148"/>
      <c r="X422" s="148"/>
      <c r="Y422" s="148"/>
      <c r="Z422" s="148"/>
      <c r="AA422" s="148"/>
      <c r="AB422" s="149"/>
      <c r="AC422" s="150"/>
      <c r="AD422" s="76"/>
      <c r="AE422" s="76"/>
      <c r="AF422" s="128"/>
    </row>
    <row r="423" spans="1:32" outlineLevel="1" x14ac:dyDescent="0.25">
      <c r="A423" s="4" t="s">
        <v>411</v>
      </c>
      <c r="B423" s="75" t="s">
        <v>878</v>
      </c>
      <c r="C423" s="25"/>
      <c r="D423" s="92">
        <v>1</v>
      </c>
      <c r="E423" s="110">
        <v>5700</v>
      </c>
      <c r="F423" s="93">
        <f t="shared" si="234"/>
        <v>5700</v>
      </c>
      <c r="G423" s="74">
        <f t="shared" si="225"/>
        <v>0</v>
      </c>
      <c r="H423" s="95">
        <f t="shared" si="220"/>
        <v>5700</v>
      </c>
      <c r="I423" s="112"/>
      <c r="J423" s="57"/>
      <c r="K423" s="57">
        <f>6000*0.95</f>
        <v>5700</v>
      </c>
      <c r="L423" s="57"/>
      <c r="M423" s="57"/>
      <c r="N423" s="57"/>
      <c r="O423" s="57"/>
      <c r="P423" s="68"/>
      <c r="Q423" s="58"/>
      <c r="R423" s="170">
        <f>P423*Q423</f>
        <v>0</v>
      </c>
      <c r="S423" s="89">
        <f t="shared" si="216"/>
        <v>0</v>
      </c>
      <c r="T423" s="216">
        <f t="shared" si="217"/>
        <v>0</v>
      </c>
      <c r="U423" s="147"/>
      <c r="V423" s="148"/>
      <c r="W423" s="148"/>
      <c r="X423" s="148"/>
      <c r="Y423" s="148"/>
      <c r="Z423" s="148"/>
      <c r="AA423" s="148"/>
      <c r="AB423" s="149"/>
      <c r="AC423" s="150"/>
      <c r="AD423" s="76"/>
      <c r="AE423" s="76"/>
      <c r="AF423" s="128"/>
    </row>
    <row r="424" spans="1:32" outlineLevel="1" x14ac:dyDescent="0.25">
      <c r="A424" s="4" t="s">
        <v>879</v>
      </c>
      <c r="B424" s="75" t="s">
        <v>991</v>
      </c>
      <c r="C424" s="25"/>
      <c r="D424" s="92">
        <v>1</v>
      </c>
      <c r="E424" s="110">
        <v>520</v>
      </c>
      <c r="F424" s="93">
        <f t="shared" si="234"/>
        <v>520</v>
      </c>
      <c r="G424" s="74">
        <f t="shared" si="225"/>
        <v>0</v>
      </c>
      <c r="H424" s="95">
        <f t="shared" si="220"/>
        <v>520</v>
      </c>
      <c r="I424" s="112">
        <v>520</v>
      </c>
      <c r="J424" s="57"/>
      <c r="K424" s="57"/>
      <c r="L424" s="57"/>
      <c r="M424" s="57"/>
      <c r="N424" s="57"/>
      <c r="O424" s="57"/>
      <c r="P424" s="68"/>
      <c r="Q424" s="58"/>
      <c r="R424" s="170">
        <f>P424*Q424</f>
        <v>0</v>
      </c>
      <c r="S424" s="89">
        <f t="shared" si="216"/>
        <v>0</v>
      </c>
      <c r="T424" s="216">
        <f t="shared" si="217"/>
        <v>0</v>
      </c>
      <c r="U424" s="147"/>
      <c r="V424" s="148"/>
      <c r="W424" s="148"/>
      <c r="X424" s="148"/>
      <c r="Y424" s="148"/>
      <c r="Z424" s="148"/>
      <c r="AA424" s="148"/>
      <c r="AB424" s="149"/>
      <c r="AC424" s="150"/>
      <c r="AD424" s="76"/>
      <c r="AE424" s="76"/>
      <c r="AF424" s="128"/>
    </row>
    <row r="425" spans="1:32" outlineLevel="1" x14ac:dyDescent="0.25">
      <c r="A425" s="4" t="s">
        <v>957</v>
      </c>
      <c r="B425" s="75" t="s">
        <v>47</v>
      </c>
      <c r="C425" s="25"/>
      <c r="D425" s="92">
        <v>1</v>
      </c>
      <c r="E425" s="110">
        <v>5700</v>
      </c>
      <c r="F425" s="93">
        <f t="shared" si="234"/>
        <v>5700</v>
      </c>
      <c r="G425" s="74">
        <f t="shared" si="225"/>
        <v>0</v>
      </c>
      <c r="H425" s="95">
        <f t="shared" si="220"/>
        <v>5700</v>
      </c>
      <c r="I425" s="112"/>
      <c r="J425" s="57"/>
      <c r="K425" s="57"/>
      <c r="L425" s="57"/>
      <c r="M425" s="57">
        <v>720</v>
      </c>
      <c r="N425" s="57"/>
      <c r="O425" s="57"/>
      <c r="P425" s="68"/>
      <c r="Q425" s="58">
        <v>4980</v>
      </c>
      <c r="R425" s="170">
        <v>782.49</v>
      </c>
      <c r="S425" s="89">
        <f t="shared" si="216"/>
        <v>-782.49</v>
      </c>
      <c r="T425" s="216">
        <f t="shared" si="217"/>
        <v>0</v>
      </c>
      <c r="U425" s="147"/>
      <c r="V425" s="148"/>
      <c r="W425" s="148"/>
      <c r="X425" s="148"/>
      <c r="Y425" s="148"/>
      <c r="Z425" s="148"/>
      <c r="AA425" s="148"/>
      <c r="AB425" s="149"/>
      <c r="AC425" s="150"/>
      <c r="AD425" s="76"/>
      <c r="AE425" s="76"/>
      <c r="AF425" s="128"/>
    </row>
    <row r="426" spans="1:32" s="3" customFormat="1" ht="15.75" x14ac:dyDescent="0.25">
      <c r="A426" s="7" t="s">
        <v>413</v>
      </c>
      <c r="B426" s="13" t="s">
        <v>286</v>
      </c>
      <c r="C426" s="23"/>
      <c r="D426" s="24"/>
      <c r="E426" s="17"/>
      <c r="F426" s="82">
        <f>SUM(F427:F430)</f>
        <v>6160</v>
      </c>
      <c r="G426" s="89">
        <f t="shared" si="225"/>
        <v>0</v>
      </c>
      <c r="H426" s="18">
        <f t="shared" si="220"/>
        <v>6160</v>
      </c>
      <c r="I426" s="54">
        <f t="shared" ref="I426:Q426" si="235">SUM(I427:I430)</f>
        <v>0</v>
      </c>
      <c r="J426" s="55">
        <f t="shared" si="235"/>
        <v>0</v>
      </c>
      <c r="K426" s="55">
        <f t="shared" si="235"/>
        <v>5200</v>
      </c>
      <c r="L426" s="55">
        <f t="shared" si="235"/>
        <v>0</v>
      </c>
      <c r="M426" s="55">
        <f t="shared" si="235"/>
        <v>960</v>
      </c>
      <c r="N426" s="55">
        <f t="shared" si="235"/>
        <v>0</v>
      </c>
      <c r="O426" s="55">
        <f t="shared" si="235"/>
        <v>0</v>
      </c>
      <c r="P426" s="55">
        <f t="shared" si="235"/>
        <v>0</v>
      </c>
      <c r="Q426" s="56">
        <f t="shared" si="235"/>
        <v>0</v>
      </c>
      <c r="R426" s="169">
        <f>SUM(R427:R430)</f>
        <v>1081.8900000000001</v>
      </c>
      <c r="S426" s="89">
        <f t="shared" si="216"/>
        <v>-1081.8900000000001</v>
      </c>
      <c r="T426" s="216">
        <f t="shared" si="217"/>
        <v>0</v>
      </c>
      <c r="U426" s="144">
        <f>SUM(U427:U430)</f>
        <v>0</v>
      </c>
      <c r="V426" s="145">
        <f t="shared" ref="V426:AC426" si="236">SUM(V427:V430)</f>
        <v>0</v>
      </c>
      <c r="W426" s="145">
        <f t="shared" si="236"/>
        <v>0</v>
      </c>
      <c r="X426" s="145">
        <f t="shared" si="236"/>
        <v>0</v>
      </c>
      <c r="Y426" s="145">
        <f t="shared" si="236"/>
        <v>0</v>
      </c>
      <c r="Z426" s="145">
        <f t="shared" si="236"/>
        <v>0</v>
      </c>
      <c r="AA426" s="145">
        <f t="shared" si="236"/>
        <v>0</v>
      </c>
      <c r="AB426" s="145">
        <f t="shared" si="236"/>
        <v>0</v>
      </c>
      <c r="AC426" s="146">
        <f t="shared" si="236"/>
        <v>0</v>
      </c>
      <c r="AD426" s="33">
        <v>7000</v>
      </c>
      <c r="AE426" s="33">
        <f>222.8+1779.93+3320.91</f>
        <v>5323.6399999999994</v>
      </c>
      <c r="AF426" s="127">
        <f>AE426*100/AD426</f>
        <v>76.052000000000007</v>
      </c>
    </row>
    <row r="427" spans="1:32" outlineLevel="1" x14ac:dyDescent="0.25">
      <c r="A427" s="4" t="s">
        <v>404</v>
      </c>
      <c r="B427" s="75" t="s">
        <v>880</v>
      </c>
      <c r="C427" s="25"/>
      <c r="D427" s="92">
        <v>1</v>
      </c>
      <c r="E427" s="110">
        <v>3500</v>
      </c>
      <c r="F427" s="93">
        <f>D427*E427</f>
        <v>3500</v>
      </c>
      <c r="G427" s="74">
        <f t="shared" si="225"/>
        <v>0</v>
      </c>
      <c r="H427" s="95">
        <f t="shared" si="220"/>
        <v>3500</v>
      </c>
      <c r="I427" s="112"/>
      <c r="J427" s="57"/>
      <c r="K427" s="57">
        <v>3500</v>
      </c>
      <c r="L427" s="57"/>
      <c r="M427" s="57"/>
      <c r="N427" s="57"/>
      <c r="O427" s="57"/>
      <c r="P427" s="68"/>
      <c r="Q427" s="58"/>
      <c r="R427" s="170">
        <v>1081.8900000000001</v>
      </c>
      <c r="S427" s="89">
        <f t="shared" si="216"/>
        <v>-1081.8900000000001</v>
      </c>
      <c r="T427" s="216">
        <f t="shared" si="217"/>
        <v>0</v>
      </c>
      <c r="U427" s="147"/>
      <c r="V427" s="148"/>
      <c r="W427" s="148"/>
      <c r="X427" s="148"/>
      <c r="Y427" s="148"/>
      <c r="Z427" s="148"/>
      <c r="AA427" s="148"/>
      <c r="AB427" s="149"/>
      <c r="AC427" s="150"/>
      <c r="AD427" s="76"/>
      <c r="AE427" s="76"/>
      <c r="AF427" s="128"/>
    </row>
    <row r="428" spans="1:32" outlineLevel="1" x14ac:dyDescent="0.25">
      <c r="A428" s="6" t="s">
        <v>405</v>
      </c>
      <c r="B428" s="75" t="s">
        <v>881</v>
      </c>
      <c r="C428" s="25"/>
      <c r="D428" s="92">
        <v>1</v>
      </c>
      <c r="E428" s="110">
        <v>960</v>
      </c>
      <c r="F428" s="93">
        <f>D428*E428</f>
        <v>960</v>
      </c>
      <c r="G428" s="74">
        <f t="shared" si="225"/>
        <v>0</v>
      </c>
      <c r="H428" s="95">
        <f t="shared" si="220"/>
        <v>960</v>
      </c>
      <c r="I428" s="112"/>
      <c r="J428" s="57"/>
      <c r="K428" s="57"/>
      <c r="L428" s="57"/>
      <c r="M428" s="57">
        <v>960</v>
      </c>
      <c r="N428" s="57"/>
      <c r="O428" s="57"/>
      <c r="P428" s="68"/>
      <c r="Q428" s="58"/>
      <c r="R428" s="170">
        <f>P428*Q428</f>
        <v>0</v>
      </c>
      <c r="S428" s="89">
        <f t="shared" si="216"/>
        <v>0</v>
      </c>
      <c r="T428" s="216">
        <f t="shared" si="217"/>
        <v>0</v>
      </c>
      <c r="U428" s="147"/>
      <c r="V428" s="148"/>
      <c r="W428" s="148"/>
      <c r="X428" s="148"/>
      <c r="Y428" s="148"/>
      <c r="Z428" s="148"/>
      <c r="AA428" s="148"/>
      <c r="AB428" s="149"/>
      <c r="AC428" s="150"/>
      <c r="AD428" s="76"/>
      <c r="AE428" s="76"/>
      <c r="AF428" s="128"/>
    </row>
    <row r="429" spans="1:32" outlineLevel="1" x14ac:dyDescent="0.25">
      <c r="A429" s="4" t="s">
        <v>412</v>
      </c>
      <c r="B429" s="75" t="s">
        <v>381</v>
      </c>
      <c r="C429" s="25"/>
      <c r="D429" s="92">
        <v>1</v>
      </c>
      <c r="E429" s="110">
        <v>1700</v>
      </c>
      <c r="F429" s="93">
        <f>D429*E429</f>
        <v>1700</v>
      </c>
      <c r="G429" s="74">
        <f t="shared" si="225"/>
        <v>0</v>
      </c>
      <c r="H429" s="95">
        <f t="shared" si="220"/>
        <v>1700</v>
      </c>
      <c r="I429" s="112"/>
      <c r="J429" s="57"/>
      <c r="K429" s="57">
        <v>1700</v>
      </c>
      <c r="L429" s="57"/>
      <c r="M429" s="57"/>
      <c r="N429" s="57"/>
      <c r="O429" s="57"/>
      <c r="P429" s="68"/>
      <c r="Q429" s="58"/>
      <c r="R429" s="170">
        <f>P429*Q429</f>
        <v>0</v>
      </c>
      <c r="S429" s="89">
        <f t="shared" si="216"/>
        <v>0</v>
      </c>
      <c r="T429" s="216">
        <f t="shared" si="217"/>
        <v>0</v>
      </c>
      <c r="U429" s="147"/>
      <c r="V429" s="148"/>
      <c r="W429" s="148"/>
      <c r="X429" s="148"/>
      <c r="Y429" s="148"/>
      <c r="Z429" s="148"/>
      <c r="AA429" s="148"/>
      <c r="AB429" s="149"/>
      <c r="AC429" s="150"/>
      <c r="AD429" s="76"/>
      <c r="AE429" s="76"/>
      <c r="AF429" s="128"/>
    </row>
    <row r="430" spans="1:32" outlineLevel="1" x14ac:dyDescent="0.25">
      <c r="A430" s="4" t="s">
        <v>406</v>
      </c>
      <c r="B430" s="75" t="s">
        <v>47</v>
      </c>
      <c r="C430" s="25"/>
      <c r="D430" s="92"/>
      <c r="E430" s="110"/>
      <c r="F430" s="93">
        <f>D430*E430</f>
        <v>0</v>
      </c>
      <c r="G430" s="74">
        <f t="shared" si="225"/>
        <v>0</v>
      </c>
      <c r="H430" s="95">
        <f t="shared" si="220"/>
        <v>0</v>
      </c>
      <c r="I430" s="112"/>
      <c r="J430" s="57"/>
      <c r="K430" s="57"/>
      <c r="L430" s="57"/>
      <c r="M430" s="57"/>
      <c r="N430" s="57"/>
      <c r="O430" s="57"/>
      <c r="P430" s="68"/>
      <c r="Q430" s="58"/>
      <c r="R430" s="170">
        <f>P430*Q430</f>
        <v>0</v>
      </c>
      <c r="S430" s="89">
        <f t="shared" si="216"/>
        <v>0</v>
      </c>
      <c r="T430" s="216">
        <f t="shared" si="217"/>
        <v>0</v>
      </c>
      <c r="U430" s="147"/>
      <c r="V430" s="148"/>
      <c r="W430" s="148"/>
      <c r="X430" s="148"/>
      <c r="Y430" s="148"/>
      <c r="Z430" s="148"/>
      <c r="AA430" s="148"/>
      <c r="AB430" s="149"/>
      <c r="AC430" s="150"/>
      <c r="AD430" s="76"/>
      <c r="AE430" s="76"/>
      <c r="AF430" s="128"/>
    </row>
    <row r="431" spans="1:32" s="3" customFormat="1" ht="15.75" x14ac:dyDescent="0.25">
      <c r="A431" s="7" t="s">
        <v>950</v>
      </c>
      <c r="B431" s="13" t="s">
        <v>495</v>
      </c>
      <c r="C431" s="23"/>
      <c r="D431" s="24"/>
      <c r="E431" s="17"/>
      <c r="F431" s="82">
        <f>SUM(F432:F432)</f>
        <v>11980</v>
      </c>
      <c r="G431" s="89">
        <f t="shared" si="225"/>
        <v>0</v>
      </c>
      <c r="H431" s="18">
        <f t="shared" si="220"/>
        <v>11980</v>
      </c>
      <c r="I431" s="54">
        <f t="shared" ref="I431:AC431" si="237">SUM(I432:I432)</f>
        <v>0</v>
      </c>
      <c r="J431" s="55">
        <f t="shared" si="237"/>
        <v>0</v>
      </c>
      <c r="K431" s="55">
        <f t="shared" si="237"/>
        <v>310</v>
      </c>
      <c r="L431" s="55">
        <f t="shared" si="237"/>
        <v>0</v>
      </c>
      <c r="M431" s="55">
        <f t="shared" si="237"/>
        <v>6690</v>
      </c>
      <c r="N431" s="55">
        <f t="shared" si="237"/>
        <v>0</v>
      </c>
      <c r="O431" s="55">
        <f t="shared" si="237"/>
        <v>0</v>
      </c>
      <c r="P431" s="55">
        <f t="shared" si="237"/>
        <v>0</v>
      </c>
      <c r="Q431" s="56">
        <f t="shared" si="237"/>
        <v>4980</v>
      </c>
      <c r="R431" s="169">
        <f>SUM(R432:R432)</f>
        <v>0</v>
      </c>
      <c r="S431" s="89">
        <f t="shared" si="216"/>
        <v>0</v>
      </c>
      <c r="T431" s="216">
        <f t="shared" si="217"/>
        <v>0</v>
      </c>
      <c r="U431" s="144">
        <f t="shared" si="237"/>
        <v>0</v>
      </c>
      <c r="V431" s="145">
        <f t="shared" si="237"/>
        <v>0</v>
      </c>
      <c r="W431" s="145">
        <f t="shared" si="237"/>
        <v>0</v>
      </c>
      <c r="X431" s="145">
        <f t="shared" si="237"/>
        <v>0</v>
      </c>
      <c r="Y431" s="145">
        <f t="shared" si="237"/>
        <v>0</v>
      </c>
      <c r="Z431" s="145">
        <f t="shared" si="237"/>
        <v>0</v>
      </c>
      <c r="AA431" s="145">
        <f t="shared" si="237"/>
        <v>0</v>
      </c>
      <c r="AB431" s="145">
        <f t="shared" si="237"/>
        <v>0</v>
      </c>
      <c r="AC431" s="146">
        <f t="shared" si="237"/>
        <v>0</v>
      </c>
      <c r="AD431" s="33">
        <v>24900</v>
      </c>
      <c r="AE431" s="33">
        <f>7000</f>
        <v>7000</v>
      </c>
      <c r="AF431" s="127">
        <f>AE431*100/AD431</f>
        <v>28.112449799196789</v>
      </c>
    </row>
    <row r="432" spans="1:32" outlineLevel="1" x14ac:dyDescent="0.25">
      <c r="A432" s="4" t="s">
        <v>414</v>
      </c>
      <c r="B432" s="75" t="s">
        <v>495</v>
      </c>
      <c r="C432" s="25"/>
      <c r="D432" s="92">
        <v>1</v>
      </c>
      <c r="E432" s="110">
        <f>7000+4980</f>
        <v>11980</v>
      </c>
      <c r="F432" s="93">
        <f>D432*E432</f>
        <v>11980</v>
      </c>
      <c r="G432" s="74">
        <f t="shared" si="225"/>
        <v>0</v>
      </c>
      <c r="H432" s="95">
        <f t="shared" si="220"/>
        <v>11980</v>
      </c>
      <c r="I432" s="112"/>
      <c r="J432" s="57"/>
      <c r="K432" s="57">
        <v>310</v>
      </c>
      <c r="L432" s="57"/>
      <c r="M432" s="57">
        <f>11670-4980</f>
        <v>6690</v>
      </c>
      <c r="N432" s="57"/>
      <c r="O432" s="57"/>
      <c r="P432" s="57"/>
      <c r="Q432" s="58">
        <v>4980</v>
      </c>
      <c r="R432" s="170">
        <f>P432*Q432</f>
        <v>0</v>
      </c>
      <c r="S432" s="89">
        <f t="shared" si="216"/>
        <v>0</v>
      </c>
      <c r="T432" s="216">
        <f t="shared" si="217"/>
        <v>0</v>
      </c>
      <c r="U432" s="147"/>
      <c r="V432" s="148"/>
      <c r="W432" s="148"/>
      <c r="X432" s="148"/>
      <c r="Y432" s="148"/>
      <c r="Z432" s="148"/>
      <c r="AA432" s="148"/>
      <c r="AB432" s="148"/>
      <c r="AC432" s="150"/>
      <c r="AD432" s="76"/>
      <c r="AE432" s="76"/>
      <c r="AF432" s="128"/>
    </row>
    <row r="433" spans="1:32" s="2" customFormat="1" ht="21" x14ac:dyDescent="0.35">
      <c r="A433" s="8" t="s">
        <v>415</v>
      </c>
      <c r="B433" s="12" t="s">
        <v>392</v>
      </c>
      <c r="C433" s="21"/>
      <c r="D433" s="22"/>
      <c r="E433" s="15"/>
      <c r="F433" s="84">
        <f>F434+F439+F443+F447+F453</f>
        <v>106230</v>
      </c>
      <c r="G433" s="89">
        <f t="shared" si="225"/>
        <v>0</v>
      </c>
      <c r="H433" s="16">
        <f t="shared" si="220"/>
        <v>106230</v>
      </c>
      <c r="I433" s="51">
        <f t="shared" ref="I433:R433" si="238">I434+I439+I443+I447+I453</f>
        <v>11270</v>
      </c>
      <c r="J433" s="51">
        <f t="shared" si="238"/>
        <v>17000</v>
      </c>
      <c r="K433" s="51">
        <f t="shared" si="238"/>
        <v>60230</v>
      </c>
      <c r="L433" s="51">
        <f t="shared" si="238"/>
        <v>0</v>
      </c>
      <c r="M433" s="51">
        <f t="shared" si="238"/>
        <v>0</v>
      </c>
      <c r="N433" s="51">
        <f t="shared" si="238"/>
        <v>7730</v>
      </c>
      <c r="O433" s="51">
        <f t="shared" si="238"/>
        <v>10000</v>
      </c>
      <c r="P433" s="51">
        <f t="shared" si="238"/>
        <v>0</v>
      </c>
      <c r="Q433" s="59">
        <f t="shared" si="238"/>
        <v>0</v>
      </c>
      <c r="R433" s="168">
        <f t="shared" si="238"/>
        <v>9317.7799999999988</v>
      </c>
      <c r="S433" s="89">
        <f t="shared" si="216"/>
        <v>14554.220000000001</v>
      </c>
      <c r="T433" s="216">
        <f t="shared" si="217"/>
        <v>23872</v>
      </c>
      <c r="U433" s="144">
        <f t="shared" ref="U433:AC433" si="239">U434+U439+U443+U447+U453</f>
        <v>0</v>
      </c>
      <c r="V433" s="144">
        <v>1404</v>
      </c>
      <c r="W433" s="144">
        <v>22000</v>
      </c>
      <c r="X433" s="144">
        <f t="shared" si="239"/>
        <v>0</v>
      </c>
      <c r="Y433" s="144">
        <f t="shared" si="239"/>
        <v>0</v>
      </c>
      <c r="Z433" s="144">
        <f t="shared" si="239"/>
        <v>0</v>
      </c>
      <c r="AA433" s="144">
        <v>468</v>
      </c>
      <c r="AB433" s="144">
        <f t="shared" si="239"/>
        <v>0</v>
      </c>
      <c r="AC433" s="151">
        <f t="shared" si="239"/>
        <v>0</v>
      </c>
      <c r="AD433" s="32">
        <f>+AD434+AD439+AD443+AD447+AD453</f>
        <v>133597</v>
      </c>
      <c r="AE433" s="32">
        <f>AE434+AE439+AE443+AE447+AE453</f>
        <v>105113.53</v>
      </c>
      <c r="AF433" s="126">
        <f>AE433*100/AD433</f>
        <v>78.679558672724681</v>
      </c>
    </row>
    <row r="434" spans="1:32" s="3" customFormat="1" ht="15.75" x14ac:dyDescent="0.25">
      <c r="A434" s="7" t="s">
        <v>417</v>
      </c>
      <c r="B434" s="13" t="s">
        <v>265</v>
      </c>
      <c r="C434" s="23"/>
      <c r="D434" s="24"/>
      <c r="E434" s="17"/>
      <c r="F434" s="82">
        <f>SUM(F435:F438)</f>
        <v>1000</v>
      </c>
      <c r="G434" s="89">
        <f t="shared" si="225"/>
        <v>0</v>
      </c>
      <c r="H434" s="18">
        <f t="shared" si="220"/>
        <v>1000</v>
      </c>
      <c r="I434" s="54">
        <f t="shared" ref="I434:Q434" si="240">SUM(I435:I438)</f>
        <v>1000</v>
      </c>
      <c r="J434" s="55">
        <f t="shared" si="240"/>
        <v>0</v>
      </c>
      <c r="K434" s="55">
        <f t="shared" si="240"/>
        <v>0</v>
      </c>
      <c r="L434" s="55">
        <f t="shared" si="240"/>
        <v>0</v>
      </c>
      <c r="M434" s="55">
        <f>SUM(M435:M438)</f>
        <v>0</v>
      </c>
      <c r="N434" s="55">
        <f t="shared" si="240"/>
        <v>0</v>
      </c>
      <c r="O434" s="55">
        <f t="shared" si="240"/>
        <v>0</v>
      </c>
      <c r="P434" s="55">
        <f t="shared" si="240"/>
        <v>0</v>
      </c>
      <c r="Q434" s="56">
        <f t="shared" si="240"/>
        <v>0</v>
      </c>
      <c r="R434" s="169">
        <f>SUM(R435:R438)</f>
        <v>809.32999999999993</v>
      </c>
      <c r="S434" s="89">
        <f t="shared" si="216"/>
        <v>-809.32999999999993</v>
      </c>
      <c r="T434" s="216">
        <f t="shared" si="217"/>
        <v>0</v>
      </c>
      <c r="U434" s="144">
        <f t="shared" ref="U434:AC434" si="241">SUM(U435:U438)</f>
        <v>0</v>
      </c>
      <c r="V434" s="145">
        <f t="shared" si="241"/>
        <v>0</v>
      </c>
      <c r="W434" s="145">
        <f t="shared" si="241"/>
        <v>0</v>
      </c>
      <c r="X434" s="145">
        <f t="shared" si="241"/>
        <v>0</v>
      </c>
      <c r="Y434" s="145">
        <f t="shared" si="241"/>
        <v>0</v>
      </c>
      <c r="Z434" s="145">
        <f t="shared" si="241"/>
        <v>0</v>
      </c>
      <c r="AA434" s="145">
        <f t="shared" si="241"/>
        <v>0</v>
      </c>
      <c r="AB434" s="145">
        <f t="shared" si="241"/>
        <v>0</v>
      </c>
      <c r="AC434" s="146">
        <f t="shared" si="241"/>
        <v>0</v>
      </c>
      <c r="AD434" s="33">
        <v>2000</v>
      </c>
      <c r="AE434" s="33">
        <f>2626.43+147.72+10+46</f>
        <v>2830.1499999999996</v>
      </c>
      <c r="AF434" s="127">
        <f>AE434*100/AD434</f>
        <v>141.50749999999996</v>
      </c>
    </row>
    <row r="435" spans="1:32" outlineLevel="1" x14ac:dyDescent="0.25">
      <c r="A435" s="5" t="s">
        <v>418</v>
      </c>
      <c r="B435" s="75" t="s">
        <v>281</v>
      </c>
      <c r="C435" s="25"/>
      <c r="D435" s="92">
        <v>1</v>
      </c>
      <c r="E435" s="110">
        <v>200</v>
      </c>
      <c r="F435" s="93">
        <f>D435*E435</f>
        <v>200</v>
      </c>
      <c r="G435" s="74">
        <f t="shared" si="225"/>
        <v>0</v>
      </c>
      <c r="H435" s="95">
        <f t="shared" si="220"/>
        <v>200</v>
      </c>
      <c r="I435" s="112">
        <v>200</v>
      </c>
      <c r="J435" s="57"/>
      <c r="K435" s="57"/>
      <c r="L435" s="57"/>
      <c r="M435" s="57"/>
      <c r="N435" s="57"/>
      <c r="O435" s="57"/>
      <c r="P435" s="68"/>
      <c r="Q435" s="58"/>
      <c r="R435" s="170">
        <f>P435*Q435</f>
        <v>0</v>
      </c>
      <c r="S435" s="89">
        <f t="shared" si="216"/>
        <v>0</v>
      </c>
      <c r="T435" s="216">
        <f t="shared" si="217"/>
        <v>0</v>
      </c>
      <c r="U435" s="147"/>
      <c r="V435" s="148"/>
      <c r="W435" s="148"/>
      <c r="X435" s="148"/>
      <c r="Y435" s="148"/>
      <c r="Z435" s="148"/>
      <c r="AA435" s="148"/>
      <c r="AB435" s="149"/>
      <c r="AC435" s="150"/>
      <c r="AD435" s="76"/>
      <c r="AE435" s="76"/>
      <c r="AF435" s="128"/>
    </row>
    <row r="436" spans="1:32" outlineLevel="1" x14ac:dyDescent="0.25">
      <c r="A436" s="4" t="s">
        <v>419</v>
      </c>
      <c r="B436" s="75" t="s">
        <v>309</v>
      </c>
      <c r="C436" s="25"/>
      <c r="D436" s="92">
        <v>4</v>
      </c>
      <c r="E436" s="110">
        <v>100</v>
      </c>
      <c r="F436" s="93">
        <f>D436*E436</f>
        <v>400</v>
      </c>
      <c r="G436" s="74">
        <f t="shared" si="225"/>
        <v>0</v>
      </c>
      <c r="H436" s="95">
        <f t="shared" si="220"/>
        <v>400</v>
      </c>
      <c r="I436" s="112">
        <v>400</v>
      </c>
      <c r="J436" s="57"/>
      <c r="K436" s="57"/>
      <c r="L436" s="57"/>
      <c r="M436" s="57"/>
      <c r="N436" s="57"/>
      <c r="O436" s="57"/>
      <c r="P436" s="68"/>
      <c r="Q436" s="58"/>
      <c r="R436" s="170">
        <v>82.62</v>
      </c>
      <c r="S436" s="89">
        <f t="shared" si="216"/>
        <v>-82.62</v>
      </c>
      <c r="T436" s="216">
        <f t="shared" si="217"/>
        <v>0</v>
      </c>
      <c r="U436" s="147"/>
      <c r="V436" s="148"/>
      <c r="W436" s="148"/>
      <c r="X436" s="148"/>
      <c r="Y436" s="148"/>
      <c r="Z436" s="148"/>
      <c r="AA436" s="148"/>
      <c r="AB436" s="149"/>
      <c r="AC436" s="150"/>
      <c r="AD436" s="76"/>
      <c r="AE436" s="76"/>
      <c r="AF436" s="128"/>
    </row>
    <row r="437" spans="1:32" outlineLevel="1" x14ac:dyDescent="0.25">
      <c r="A437" s="4" t="s">
        <v>420</v>
      </c>
      <c r="B437" s="75" t="s">
        <v>285</v>
      </c>
      <c r="C437" s="25"/>
      <c r="D437" s="92">
        <v>8</v>
      </c>
      <c r="E437" s="110">
        <v>50</v>
      </c>
      <c r="F437" s="93">
        <f>D437*E437</f>
        <v>400</v>
      </c>
      <c r="G437" s="74">
        <f t="shared" si="225"/>
        <v>0</v>
      </c>
      <c r="H437" s="95">
        <f t="shared" si="220"/>
        <v>400</v>
      </c>
      <c r="I437" s="112">
        <v>400</v>
      </c>
      <c r="J437" s="57"/>
      <c r="K437" s="57"/>
      <c r="L437" s="57"/>
      <c r="M437" s="57"/>
      <c r="N437" s="57"/>
      <c r="O437" s="57"/>
      <c r="P437" s="68"/>
      <c r="Q437" s="58"/>
      <c r="R437" s="170">
        <v>300.06</v>
      </c>
      <c r="S437" s="89">
        <f t="shared" si="216"/>
        <v>-300.06</v>
      </c>
      <c r="T437" s="216">
        <f t="shared" si="217"/>
        <v>0</v>
      </c>
      <c r="U437" s="147"/>
      <c r="V437" s="148"/>
      <c r="W437" s="148"/>
      <c r="X437" s="148"/>
      <c r="Y437" s="148"/>
      <c r="Z437" s="148"/>
      <c r="AA437" s="148"/>
      <c r="AB437" s="149"/>
      <c r="AC437" s="150"/>
      <c r="AD437" s="76"/>
      <c r="AE437" s="76"/>
      <c r="AF437" s="128"/>
    </row>
    <row r="438" spans="1:32" outlineLevel="1" x14ac:dyDescent="0.25">
      <c r="A438" s="4" t="s">
        <v>421</v>
      </c>
      <c r="B438" s="75" t="s">
        <v>47</v>
      </c>
      <c r="C438" s="25"/>
      <c r="D438" s="92"/>
      <c r="E438" s="110"/>
      <c r="F438" s="93">
        <f>D438*E438</f>
        <v>0</v>
      </c>
      <c r="G438" s="74">
        <f t="shared" si="225"/>
        <v>0</v>
      </c>
      <c r="H438" s="95">
        <f t="shared" si="220"/>
        <v>0</v>
      </c>
      <c r="I438" s="112"/>
      <c r="J438" s="57"/>
      <c r="K438" s="57"/>
      <c r="L438" s="57"/>
      <c r="M438" s="57"/>
      <c r="N438" s="57"/>
      <c r="O438" s="57"/>
      <c r="P438" s="68"/>
      <c r="Q438" s="58"/>
      <c r="R438" s="170">
        <v>426.65</v>
      </c>
      <c r="S438" s="89">
        <f t="shared" si="216"/>
        <v>-426.65</v>
      </c>
      <c r="T438" s="216">
        <f t="shared" si="217"/>
        <v>0</v>
      </c>
      <c r="U438" s="147"/>
      <c r="V438" s="148"/>
      <c r="W438" s="148"/>
      <c r="X438" s="148"/>
      <c r="Y438" s="148"/>
      <c r="Z438" s="148"/>
      <c r="AA438" s="148"/>
      <c r="AB438" s="149"/>
      <c r="AC438" s="150"/>
      <c r="AD438" s="76"/>
      <c r="AE438" s="76"/>
      <c r="AF438" s="128"/>
    </row>
    <row r="439" spans="1:32" s="3" customFormat="1" ht="15.75" x14ac:dyDescent="0.25">
      <c r="A439" s="7" t="s">
        <v>422</v>
      </c>
      <c r="B439" s="13" t="s">
        <v>248</v>
      </c>
      <c r="C439" s="23"/>
      <c r="D439" s="24"/>
      <c r="E439" s="17"/>
      <c r="F439" s="82">
        <f>SUM(F440:F442)</f>
        <v>15000</v>
      </c>
      <c r="G439" s="89">
        <f t="shared" si="225"/>
        <v>0</v>
      </c>
      <c r="H439" s="18">
        <f t="shared" si="220"/>
        <v>15000</v>
      </c>
      <c r="I439" s="54">
        <f t="shared" ref="I439:Q439" si="242">SUM(I440:I442)</f>
        <v>2500</v>
      </c>
      <c r="J439" s="55">
        <f t="shared" si="242"/>
        <v>10000</v>
      </c>
      <c r="K439" s="55">
        <f t="shared" si="242"/>
        <v>2500</v>
      </c>
      <c r="L439" s="55">
        <f t="shared" si="242"/>
        <v>0</v>
      </c>
      <c r="M439" s="55">
        <f t="shared" si="242"/>
        <v>0</v>
      </c>
      <c r="N439" s="55">
        <f t="shared" si="242"/>
        <v>0</v>
      </c>
      <c r="O439" s="55">
        <f t="shared" si="242"/>
        <v>0</v>
      </c>
      <c r="P439" s="55">
        <f t="shared" si="242"/>
        <v>0</v>
      </c>
      <c r="Q439" s="56">
        <f t="shared" si="242"/>
        <v>0</v>
      </c>
      <c r="R439" s="169">
        <f>SUM(R440:R442)</f>
        <v>833.4</v>
      </c>
      <c r="S439" s="89">
        <f t="shared" si="216"/>
        <v>-833.4</v>
      </c>
      <c r="T439" s="216">
        <f t="shared" si="217"/>
        <v>0</v>
      </c>
      <c r="U439" s="144">
        <f>SUM(U440:U442)</f>
        <v>0</v>
      </c>
      <c r="V439" s="145">
        <f t="shared" ref="V439:AC439" si="243">SUM(V440:V442)</f>
        <v>0</v>
      </c>
      <c r="W439" s="145">
        <f t="shared" si="243"/>
        <v>0</v>
      </c>
      <c r="X439" s="145">
        <f t="shared" si="243"/>
        <v>0</v>
      </c>
      <c r="Y439" s="145">
        <f t="shared" si="243"/>
        <v>0</v>
      </c>
      <c r="Z439" s="145">
        <f t="shared" si="243"/>
        <v>0</v>
      </c>
      <c r="AA439" s="145">
        <f t="shared" si="243"/>
        <v>0</v>
      </c>
      <c r="AB439" s="145">
        <f t="shared" si="243"/>
        <v>0</v>
      </c>
      <c r="AC439" s="146">
        <f t="shared" si="243"/>
        <v>0</v>
      </c>
      <c r="AD439" s="33">
        <v>8592</v>
      </c>
      <c r="AE439" s="33">
        <f>2650.07+7099.04+106.2+3007.44</f>
        <v>12862.750000000002</v>
      </c>
      <c r="AF439" s="127">
        <f>AE439*100/AD439</f>
        <v>149.70612197392927</v>
      </c>
    </row>
    <row r="440" spans="1:32" outlineLevel="1" x14ac:dyDescent="0.25">
      <c r="A440" s="4" t="s">
        <v>423</v>
      </c>
      <c r="B440" s="75" t="s">
        <v>836</v>
      </c>
      <c r="C440" s="25"/>
      <c r="D440" s="92">
        <v>1</v>
      </c>
      <c r="E440" s="110">
        <v>12500</v>
      </c>
      <c r="F440" s="93">
        <f>D440*E440</f>
        <v>12500</v>
      </c>
      <c r="G440" s="74">
        <f t="shared" si="225"/>
        <v>0</v>
      </c>
      <c r="H440" s="95">
        <f t="shared" si="220"/>
        <v>12500</v>
      </c>
      <c r="I440" s="112"/>
      <c r="J440" s="57">
        <v>10000</v>
      </c>
      <c r="K440" s="57">
        <v>2500</v>
      </c>
      <c r="L440" s="57"/>
      <c r="M440" s="57"/>
      <c r="N440" s="57"/>
      <c r="O440" s="57"/>
      <c r="P440" s="68"/>
      <c r="Q440" s="58"/>
      <c r="R440" s="170">
        <f>P440*Q440</f>
        <v>0</v>
      </c>
      <c r="S440" s="89">
        <f t="shared" si="216"/>
        <v>0</v>
      </c>
      <c r="T440" s="216">
        <f t="shared" si="217"/>
        <v>0</v>
      </c>
      <c r="U440" s="147"/>
      <c r="V440" s="148"/>
      <c r="W440" s="148"/>
      <c r="X440" s="148"/>
      <c r="Y440" s="148"/>
      <c r="Z440" s="148"/>
      <c r="AA440" s="148"/>
      <c r="AB440" s="149"/>
      <c r="AC440" s="150"/>
      <c r="AD440" s="76"/>
      <c r="AE440" s="76"/>
      <c r="AF440" s="128"/>
    </row>
    <row r="441" spans="1:32" outlineLevel="1" x14ac:dyDescent="0.25">
      <c r="A441" s="4" t="s">
        <v>424</v>
      </c>
      <c r="B441" s="75" t="s">
        <v>837</v>
      </c>
      <c r="C441" s="25"/>
      <c r="D441" s="92">
        <v>1</v>
      </c>
      <c r="E441" s="110">
        <v>2500</v>
      </c>
      <c r="F441" s="93">
        <f>D441*E441</f>
        <v>2500</v>
      </c>
      <c r="G441" s="74">
        <f t="shared" si="225"/>
        <v>0</v>
      </c>
      <c r="H441" s="95">
        <f t="shared" si="220"/>
        <v>2500</v>
      </c>
      <c r="I441" s="112">
        <v>2500</v>
      </c>
      <c r="J441" s="57"/>
      <c r="K441" s="57"/>
      <c r="L441" s="57"/>
      <c r="M441" s="57"/>
      <c r="N441" s="57"/>
      <c r="O441" s="57"/>
      <c r="P441" s="68"/>
      <c r="Q441" s="58"/>
      <c r="R441" s="170">
        <v>653.30999999999995</v>
      </c>
      <c r="S441" s="89">
        <f t="shared" si="216"/>
        <v>-653.30999999999995</v>
      </c>
      <c r="T441" s="216">
        <f t="shared" si="217"/>
        <v>0</v>
      </c>
      <c r="U441" s="147"/>
      <c r="V441" s="148"/>
      <c r="W441" s="148"/>
      <c r="X441" s="148"/>
      <c r="Y441" s="148"/>
      <c r="Z441" s="148"/>
      <c r="AA441" s="148"/>
      <c r="AB441" s="149"/>
      <c r="AC441" s="150"/>
      <c r="AD441" s="76"/>
      <c r="AE441" s="76"/>
      <c r="AF441" s="128"/>
    </row>
    <row r="442" spans="1:32" outlineLevel="1" x14ac:dyDescent="0.25">
      <c r="A442" s="4" t="s">
        <v>425</v>
      </c>
      <c r="B442" s="75" t="s">
        <v>47</v>
      </c>
      <c r="C442" s="25"/>
      <c r="D442" s="92"/>
      <c r="E442" s="110"/>
      <c r="F442" s="93">
        <f>D442*E442</f>
        <v>0</v>
      </c>
      <c r="G442" s="74">
        <f t="shared" si="225"/>
        <v>0</v>
      </c>
      <c r="H442" s="95">
        <f t="shared" si="220"/>
        <v>0</v>
      </c>
      <c r="I442" s="112"/>
      <c r="J442" s="57"/>
      <c r="K442" s="57"/>
      <c r="L442" s="57"/>
      <c r="M442" s="57"/>
      <c r="N442" s="57"/>
      <c r="O442" s="57"/>
      <c r="P442" s="68"/>
      <c r="Q442" s="58"/>
      <c r="R442" s="170">
        <v>180.09</v>
      </c>
      <c r="S442" s="89">
        <f t="shared" si="216"/>
        <v>-180.09</v>
      </c>
      <c r="T442" s="216">
        <f t="shared" si="217"/>
        <v>0</v>
      </c>
      <c r="U442" s="147"/>
      <c r="V442" s="148"/>
      <c r="W442" s="148"/>
      <c r="X442" s="148"/>
      <c r="Y442" s="148"/>
      <c r="Z442" s="148"/>
      <c r="AA442" s="148"/>
      <c r="AB442" s="149"/>
      <c r="AC442" s="150"/>
      <c r="AD442" s="76"/>
      <c r="AE442" s="76"/>
      <c r="AF442" s="128"/>
    </row>
    <row r="443" spans="1:32" s="3" customFormat="1" ht="15.75" x14ac:dyDescent="0.25">
      <c r="A443" s="7" t="s">
        <v>426</v>
      </c>
      <c r="B443" s="13" t="s">
        <v>137</v>
      </c>
      <c r="C443" s="23"/>
      <c r="D443" s="24"/>
      <c r="E443" s="17"/>
      <c r="F443" s="82">
        <f>SUM(F444:F446)</f>
        <v>63000</v>
      </c>
      <c r="G443" s="89">
        <f t="shared" si="225"/>
        <v>0</v>
      </c>
      <c r="H443" s="18">
        <f t="shared" si="220"/>
        <v>63000</v>
      </c>
      <c r="I443" s="54">
        <f t="shared" ref="I443:Q443" si="244">SUM(I444:I446)</f>
        <v>6000</v>
      </c>
      <c r="J443" s="55">
        <f t="shared" si="244"/>
        <v>5000</v>
      </c>
      <c r="K443" s="55">
        <f t="shared" si="244"/>
        <v>39500</v>
      </c>
      <c r="L443" s="55">
        <f t="shared" si="244"/>
        <v>0</v>
      </c>
      <c r="M443" s="55">
        <f t="shared" si="244"/>
        <v>0</v>
      </c>
      <c r="N443" s="55">
        <f t="shared" si="244"/>
        <v>2500</v>
      </c>
      <c r="O443" s="55">
        <f t="shared" si="244"/>
        <v>10000</v>
      </c>
      <c r="P443" s="55">
        <f t="shared" si="244"/>
        <v>0</v>
      </c>
      <c r="Q443" s="56">
        <f t="shared" si="244"/>
        <v>0</v>
      </c>
      <c r="R443" s="169">
        <f>SUM(R444:R446)</f>
        <v>5950.93</v>
      </c>
      <c r="S443" s="89">
        <f t="shared" si="216"/>
        <v>-5950.93</v>
      </c>
      <c r="T443" s="216">
        <f t="shared" si="217"/>
        <v>0</v>
      </c>
      <c r="U443" s="144">
        <f>SUM(U444:U446)</f>
        <v>0</v>
      </c>
      <c r="V443" s="145">
        <f t="shared" ref="V443:AC443" si="245">SUM(V444:V446)</f>
        <v>0</v>
      </c>
      <c r="W443" s="145">
        <f t="shared" si="245"/>
        <v>0</v>
      </c>
      <c r="X443" s="145">
        <f t="shared" si="245"/>
        <v>0</v>
      </c>
      <c r="Y443" s="145">
        <f t="shared" si="245"/>
        <v>0</v>
      </c>
      <c r="Z443" s="145">
        <f t="shared" si="245"/>
        <v>0</v>
      </c>
      <c r="AA443" s="145">
        <f t="shared" si="245"/>
        <v>0</v>
      </c>
      <c r="AB443" s="145">
        <f t="shared" si="245"/>
        <v>0</v>
      </c>
      <c r="AC443" s="146">
        <f t="shared" si="245"/>
        <v>0</v>
      </c>
      <c r="AD443" s="33">
        <v>95005</v>
      </c>
      <c r="AE443" s="33">
        <f>17223.82+2620.17+1705.59+608.92+472.15+32.4+334.64+478.84+1074.52+232.15+1403.79+6662.31+8482.95+500+12781.44+1345.5+6739.46</f>
        <v>62698.65</v>
      </c>
      <c r="AF443" s="127">
        <f>AE443*100/AD443</f>
        <v>65.995105520762067</v>
      </c>
    </row>
    <row r="444" spans="1:32" outlineLevel="1" x14ac:dyDescent="0.25">
      <c r="A444" s="4" t="s">
        <v>427</v>
      </c>
      <c r="B444" s="75" t="s">
        <v>141</v>
      </c>
      <c r="C444" s="25"/>
      <c r="D444" s="92">
        <v>1</v>
      </c>
      <c r="E444" s="110">
        <v>41500</v>
      </c>
      <c r="F444" s="86">
        <f>D444*E444</f>
        <v>41500</v>
      </c>
      <c r="G444" s="74">
        <f t="shared" si="225"/>
        <v>0</v>
      </c>
      <c r="H444" s="95">
        <f t="shared" si="220"/>
        <v>41500</v>
      </c>
      <c r="I444" s="112">
        <v>3000</v>
      </c>
      <c r="J444" s="57">
        <v>5000</v>
      </c>
      <c r="K444" s="57">
        <f>30000*0.95-7500</f>
        <v>21000</v>
      </c>
      <c r="L444" s="57"/>
      <c r="M444" s="57"/>
      <c r="N444" s="57">
        <v>2500</v>
      </c>
      <c r="O444" s="57">
        <v>10000</v>
      </c>
      <c r="P444" s="68"/>
      <c r="Q444" s="58"/>
      <c r="R444" s="173">
        <v>5723.09</v>
      </c>
      <c r="S444" s="89">
        <f t="shared" si="216"/>
        <v>-5723.09</v>
      </c>
      <c r="T444" s="216">
        <f t="shared" si="217"/>
        <v>0</v>
      </c>
      <c r="U444" s="147"/>
      <c r="V444" s="148"/>
      <c r="W444" s="148"/>
      <c r="X444" s="148"/>
      <c r="Y444" s="148"/>
      <c r="Z444" s="148"/>
      <c r="AA444" s="148"/>
      <c r="AB444" s="149"/>
      <c r="AC444" s="150"/>
      <c r="AD444" s="76"/>
      <c r="AE444" s="76"/>
      <c r="AF444" s="128"/>
    </row>
    <row r="445" spans="1:32" outlineLevel="1" x14ac:dyDescent="0.25">
      <c r="A445" s="6" t="s">
        <v>428</v>
      </c>
      <c r="B445" s="75" t="s">
        <v>140</v>
      </c>
      <c r="C445" s="25"/>
      <c r="D445" s="92">
        <v>1</v>
      </c>
      <c r="E445" s="110">
        <v>21500</v>
      </c>
      <c r="F445" s="86">
        <f>D445*E445</f>
        <v>21500</v>
      </c>
      <c r="G445" s="74">
        <f t="shared" si="225"/>
        <v>0</v>
      </c>
      <c r="H445" s="95">
        <f t="shared" si="220"/>
        <v>21500</v>
      </c>
      <c r="I445" s="112">
        <f>E26</f>
        <v>3000</v>
      </c>
      <c r="J445" s="57"/>
      <c r="K445" s="57">
        <f>30000*0.95-7500-2500</f>
        <v>18500</v>
      </c>
      <c r="L445" s="57"/>
      <c r="M445" s="57"/>
      <c r="N445" s="57"/>
      <c r="O445" s="57"/>
      <c r="P445" s="68"/>
      <c r="Q445" s="58"/>
      <c r="R445" s="173">
        <f>P445*Q445</f>
        <v>0</v>
      </c>
      <c r="S445" s="89">
        <f t="shared" si="216"/>
        <v>0</v>
      </c>
      <c r="T445" s="216">
        <f t="shared" si="217"/>
        <v>0</v>
      </c>
      <c r="U445" s="147"/>
      <c r="V445" s="148"/>
      <c r="W445" s="148"/>
      <c r="X445" s="148"/>
      <c r="Y445" s="148"/>
      <c r="Z445" s="148"/>
      <c r="AA445" s="148"/>
      <c r="AB445" s="149"/>
      <c r="AC445" s="150"/>
      <c r="AD445" s="76"/>
      <c r="AE445" s="76"/>
      <c r="AF445" s="128"/>
    </row>
    <row r="446" spans="1:32" outlineLevel="1" x14ac:dyDescent="0.25">
      <c r="A446" s="4" t="s">
        <v>433</v>
      </c>
      <c r="B446" s="75" t="s">
        <v>47</v>
      </c>
      <c r="C446" s="25"/>
      <c r="D446" s="92"/>
      <c r="E446" s="110"/>
      <c r="F446" s="86">
        <f>D446*E446</f>
        <v>0</v>
      </c>
      <c r="G446" s="74">
        <f t="shared" si="225"/>
        <v>0</v>
      </c>
      <c r="H446" s="95">
        <f t="shared" si="220"/>
        <v>0</v>
      </c>
      <c r="I446" s="112"/>
      <c r="J446" s="57"/>
      <c r="K446" s="57"/>
      <c r="L446" s="57"/>
      <c r="M446" s="57"/>
      <c r="N446" s="57"/>
      <c r="O446" s="57"/>
      <c r="P446" s="68"/>
      <c r="Q446" s="58"/>
      <c r="R446" s="173">
        <v>227.84</v>
      </c>
      <c r="S446" s="89">
        <f t="shared" si="216"/>
        <v>-227.84</v>
      </c>
      <c r="T446" s="216">
        <f t="shared" si="217"/>
        <v>0</v>
      </c>
      <c r="U446" s="147"/>
      <c r="V446" s="148"/>
      <c r="W446" s="148"/>
      <c r="X446" s="148"/>
      <c r="Y446" s="148"/>
      <c r="Z446" s="148"/>
      <c r="AA446" s="148"/>
      <c r="AB446" s="149"/>
      <c r="AC446" s="150"/>
      <c r="AD446" s="76"/>
      <c r="AE446" s="76"/>
      <c r="AF446" s="128"/>
    </row>
    <row r="447" spans="1:32" s="3" customFormat="1" ht="15.75" x14ac:dyDescent="0.25">
      <c r="A447" s="7" t="s">
        <v>429</v>
      </c>
      <c r="B447" s="13" t="s">
        <v>250</v>
      </c>
      <c r="C447" s="23"/>
      <c r="D447" s="24"/>
      <c r="E447" s="17"/>
      <c r="F447" s="82">
        <f>SUM(F448:F450)</f>
        <v>7230</v>
      </c>
      <c r="G447" s="89">
        <f t="shared" si="225"/>
        <v>0</v>
      </c>
      <c r="H447" s="18">
        <f t="shared" si="220"/>
        <v>7230</v>
      </c>
      <c r="I447" s="54">
        <f t="shared" ref="I447:Q447" si="246">SUM(I448:I450)</f>
        <v>1770</v>
      </c>
      <c r="J447" s="55">
        <f t="shared" si="246"/>
        <v>0</v>
      </c>
      <c r="K447" s="55">
        <f t="shared" si="246"/>
        <v>3230</v>
      </c>
      <c r="L447" s="55">
        <f t="shared" si="246"/>
        <v>0</v>
      </c>
      <c r="M447" s="55">
        <f t="shared" si="246"/>
        <v>0</v>
      </c>
      <c r="N447" s="55">
        <f t="shared" si="246"/>
        <v>2230</v>
      </c>
      <c r="O447" s="55">
        <f t="shared" si="246"/>
        <v>0</v>
      </c>
      <c r="P447" s="55">
        <f t="shared" si="246"/>
        <v>0</v>
      </c>
      <c r="Q447" s="56">
        <f t="shared" si="246"/>
        <v>0</v>
      </c>
      <c r="R447" s="169">
        <f>SUM(R448:R452)</f>
        <v>1724.12</v>
      </c>
      <c r="S447" s="89">
        <f t="shared" si="216"/>
        <v>-1724.12</v>
      </c>
      <c r="T447" s="216">
        <f t="shared" si="217"/>
        <v>0</v>
      </c>
      <c r="U447" s="144">
        <f>SUM(U448:U452)</f>
        <v>0</v>
      </c>
      <c r="V447" s="144">
        <f t="shared" ref="V447:AC447" si="247">SUM(V448:V452)</f>
        <v>0</v>
      </c>
      <c r="W447" s="144">
        <f t="shared" si="247"/>
        <v>0</v>
      </c>
      <c r="X447" s="144">
        <f t="shared" si="247"/>
        <v>0</v>
      </c>
      <c r="Y447" s="144">
        <f t="shared" si="247"/>
        <v>0</v>
      </c>
      <c r="Z447" s="144">
        <f t="shared" si="247"/>
        <v>0</v>
      </c>
      <c r="AA447" s="144">
        <f t="shared" si="247"/>
        <v>0</v>
      </c>
      <c r="AB447" s="144">
        <f t="shared" si="247"/>
        <v>0</v>
      </c>
      <c r="AC447" s="144">
        <f t="shared" si="247"/>
        <v>0</v>
      </c>
      <c r="AD447" s="33">
        <v>8000</v>
      </c>
      <c r="AE447" s="33">
        <f>5138.59-2830.15+2122.29+1530.31+760.94</f>
        <v>6721.98</v>
      </c>
      <c r="AF447" s="127">
        <f>AE447*100/AD447</f>
        <v>84.024749999999997</v>
      </c>
    </row>
    <row r="448" spans="1:32" outlineLevel="1" x14ac:dyDescent="0.25">
      <c r="A448" s="4" t="s">
        <v>430</v>
      </c>
      <c r="B448" s="75" t="s">
        <v>893</v>
      </c>
      <c r="C448" s="25"/>
      <c r="D448" s="92">
        <v>1</v>
      </c>
      <c r="E448" s="110">
        <v>2230</v>
      </c>
      <c r="F448" s="93">
        <f>D448*E448</f>
        <v>2230</v>
      </c>
      <c r="G448" s="74">
        <f t="shared" si="225"/>
        <v>0</v>
      </c>
      <c r="H448" s="95">
        <f t="shared" si="220"/>
        <v>2230</v>
      </c>
      <c r="I448" s="112"/>
      <c r="J448" s="57"/>
      <c r="K448" s="57"/>
      <c r="L448" s="57"/>
      <c r="M448" s="57"/>
      <c r="N448" s="57">
        <v>2230</v>
      </c>
      <c r="O448" s="57"/>
      <c r="P448" s="68"/>
      <c r="Q448" s="58"/>
      <c r="R448" s="170">
        <v>20.72</v>
      </c>
      <c r="S448" s="89">
        <f t="shared" si="216"/>
        <v>-20.72</v>
      </c>
      <c r="T448" s="216">
        <f t="shared" si="217"/>
        <v>0</v>
      </c>
      <c r="U448" s="147"/>
      <c r="V448" s="148"/>
      <c r="W448" s="148"/>
      <c r="X448" s="148"/>
      <c r="Y448" s="148"/>
      <c r="Z448" s="148"/>
      <c r="AA448" s="148"/>
      <c r="AB448" s="149"/>
      <c r="AC448" s="150"/>
      <c r="AD448" s="76"/>
      <c r="AE448" s="76"/>
      <c r="AF448" s="128"/>
    </row>
    <row r="449" spans="1:32" outlineLevel="1" x14ac:dyDescent="0.25">
      <c r="A449" s="4" t="s">
        <v>431</v>
      </c>
      <c r="B449" s="75" t="s">
        <v>142</v>
      </c>
      <c r="C449" s="25"/>
      <c r="D449" s="92">
        <v>1</v>
      </c>
      <c r="E449" s="110">
        <v>5000</v>
      </c>
      <c r="F449" s="93">
        <f>D449*E449</f>
        <v>5000</v>
      </c>
      <c r="G449" s="74">
        <f t="shared" si="225"/>
        <v>0</v>
      </c>
      <c r="H449" s="95">
        <f t="shared" si="220"/>
        <v>5000</v>
      </c>
      <c r="I449" s="112">
        <v>1770</v>
      </c>
      <c r="J449" s="57"/>
      <c r="K449" s="57">
        <f>3400*0.95</f>
        <v>3230</v>
      </c>
      <c r="L449" s="57"/>
      <c r="M449" s="57"/>
      <c r="N449" s="57"/>
      <c r="O449" s="57"/>
      <c r="P449" s="68"/>
      <c r="Q449" s="58"/>
      <c r="R449" s="170">
        <f>P449*Q449</f>
        <v>0</v>
      </c>
      <c r="S449" s="89">
        <f t="shared" si="216"/>
        <v>0</v>
      </c>
      <c r="T449" s="216">
        <f t="shared" si="217"/>
        <v>0</v>
      </c>
      <c r="U449" s="147"/>
      <c r="V449" s="148"/>
      <c r="W449" s="148"/>
      <c r="X449" s="148"/>
      <c r="Y449" s="148"/>
      <c r="Z449" s="148"/>
      <c r="AA449" s="148"/>
      <c r="AB449" s="149"/>
      <c r="AC449" s="150"/>
      <c r="AD449" s="76"/>
      <c r="AE449" s="76"/>
      <c r="AF449" s="128"/>
    </row>
    <row r="450" spans="1:32" outlineLevel="1" x14ac:dyDescent="0.25">
      <c r="A450" s="4" t="s">
        <v>432</v>
      </c>
      <c r="B450" s="179" t="s">
        <v>1012</v>
      </c>
      <c r="C450" s="25"/>
      <c r="D450" s="92"/>
      <c r="E450" s="110"/>
      <c r="F450" s="93">
        <f>D450*E450</f>
        <v>0</v>
      </c>
      <c r="G450" s="74">
        <f t="shared" si="225"/>
        <v>0</v>
      </c>
      <c r="H450" s="95">
        <f t="shared" si="220"/>
        <v>0</v>
      </c>
      <c r="I450" s="112"/>
      <c r="J450" s="57"/>
      <c r="K450" s="57"/>
      <c r="L450" s="57"/>
      <c r="M450" s="57"/>
      <c r="N450" s="57"/>
      <c r="O450" s="57"/>
      <c r="P450" s="68"/>
      <c r="Q450" s="58"/>
      <c r="R450" s="170">
        <v>613.9</v>
      </c>
      <c r="S450" s="89">
        <f t="shared" si="216"/>
        <v>-613.9</v>
      </c>
      <c r="T450" s="216">
        <f t="shared" si="217"/>
        <v>0</v>
      </c>
      <c r="U450" s="147"/>
      <c r="V450" s="148"/>
      <c r="W450" s="148"/>
      <c r="X450" s="148"/>
      <c r="Y450" s="148"/>
      <c r="Z450" s="148"/>
      <c r="AA450" s="148"/>
      <c r="AB450" s="149"/>
      <c r="AC450" s="150"/>
      <c r="AD450" s="76"/>
      <c r="AE450" s="76"/>
      <c r="AF450" s="128"/>
    </row>
    <row r="451" spans="1:32" s="192" customFormat="1" outlineLevel="1" x14ac:dyDescent="0.25">
      <c r="A451" s="178" t="s">
        <v>1010</v>
      </c>
      <c r="B451" s="179" t="s">
        <v>837</v>
      </c>
      <c r="C451" s="180"/>
      <c r="D451" s="181"/>
      <c r="E451" s="182"/>
      <c r="F451" s="183"/>
      <c r="G451" s="184"/>
      <c r="H451" s="185"/>
      <c r="I451" s="186"/>
      <c r="J451" s="187"/>
      <c r="K451" s="187"/>
      <c r="L451" s="187"/>
      <c r="M451" s="187"/>
      <c r="N451" s="187"/>
      <c r="O451" s="187"/>
      <c r="P451" s="188"/>
      <c r="Q451" s="189"/>
      <c r="R451" s="183">
        <v>1002.56</v>
      </c>
      <c r="S451" s="89">
        <f t="shared" si="216"/>
        <v>-1002.56</v>
      </c>
      <c r="T451" s="216">
        <f t="shared" si="217"/>
        <v>0</v>
      </c>
      <c r="U451" s="186"/>
      <c r="V451" s="187"/>
      <c r="W451" s="187"/>
      <c r="X451" s="187"/>
      <c r="Y451" s="187"/>
      <c r="Z451" s="187"/>
      <c r="AA451" s="187"/>
      <c r="AB451" s="188"/>
      <c r="AC451" s="189"/>
      <c r="AD451" s="190"/>
      <c r="AE451" s="190"/>
      <c r="AF451" s="191"/>
    </row>
    <row r="452" spans="1:32" s="192" customFormat="1" outlineLevel="1" x14ac:dyDescent="0.25">
      <c r="A452" s="178" t="s">
        <v>1011</v>
      </c>
      <c r="B452" s="179" t="s">
        <v>47</v>
      </c>
      <c r="C452" s="180"/>
      <c r="D452" s="181"/>
      <c r="E452" s="182"/>
      <c r="F452" s="183"/>
      <c r="G452" s="184"/>
      <c r="H452" s="185"/>
      <c r="I452" s="186"/>
      <c r="J452" s="187"/>
      <c r="K452" s="187"/>
      <c r="L452" s="187"/>
      <c r="M452" s="187"/>
      <c r="N452" s="187"/>
      <c r="O452" s="187"/>
      <c r="P452" s="188"/>
      <c r="Q452" s="189"/>
      <c r="R452" s="183">
        <v>86.94</v>
      </c>
      <c r="S452" s="89">
        <f t="shared" si="216"/>
        <v>-86.94</v>
      </c>
      <c r="T452" s="216">
        <f t="shared" si="217"/>
        <v>0</v>
      </c>
      <c r="U452" s="186"/>
      <c r="V452" s="187"/>
      <c r="W452" s="187"/>
      <c r="X452" s="187"/>
      <c r="Y452" s="187"/>
      <c r="Z452" s="187"/>
      <c r="AA452" s="187"/>
      <c r="AB452" s="188"/>
      <c r="AC452" s="189"/>
      <c r="AD452" s="190"/>
      <c r="AE452" s="190"/>
      <c r="AF452" s="191"/>
    </row>
    <row r="453" spans="1:32" s="3" customFormat="1" ht="15.75" x14ac:dyDescent="0.25">
      <c r="A453" s="7" t="s">
        <v>434</v>
      </c>
      <c r="B453" s="13" t="s">
        <v>495</v>
      </c>
      <c r="C453" s="23"/>
      <c r="D453" s="24"/>
      <c r="E453" s="17"/>
      <c r="F453" s="82">
        <f>SUM(F454:F454)</f>
        <v>20000</v>
      </c>
      <c r="G453" s="89">
        <f t="shared" si="225"/>
        <v>0</v>
      </c>
      <c r="H453" s="18">
        <f t="shared" si="220"/>
        <v>20000</v>
      </c>
      <c r="I453" s="54">
        <f t="shared" ref="I453:AC453" si="248">SUM(I454:I454)</f>
        <v>0</v>
      </c>
      <c r="J453" s="55">
        <f t="shared" si="248"/>
        <v>2000</v>
      </c>
      <c r="K453" s="55">
        <f t="shared" si="248"/>
        <v>15000</v>
      </c>
      <c r="L453" s="55">
        <f t="shared" si="248"/>
        <v>0</v>
      </c>
      <c r="M453" s="55">
        <f t="shared" si="248"/>
        <v>0</v>
      </c>
      <c r="N453" s="55">
        <f t="shared" si="248"/>
        <v>3000</v>
      </c>
      <c r="O453" s="55">
        <f t="shared" si="248"/>
        <v>0</v>
      </c>
      <c r="P453" s="55">
        <f t="shared" si="248"/>
        <v>0</v>
      </c>
      <c r="Q453" s="56">
        <f t="shared" si="248"/>
        <v>0</v>
      </c>
      <c r="R453" s="169">
        <f>SUM(R454:R454)</f>
        <v>0</v>
      </c>
      <c r="S453" s="89">
        <f t="shared" ref="S453:S516" si="249">T453-R453</f>
        <v>0</v>
      </c>
      <c r="T453" s="216">
        <f t="shared" ref="T453:T516" si="250">+U453+V453+W453+X453+Y453+Z453+AA453+AB453+AC453</f>
        <v>0</v>
      </c>
      <c r="U453" s="144">
        <f t="shared" si="248"/>
        <v>0</v>
      </c>
      <c r="V453" s="145">
        <f t="shared" si="248"/>
        <v>0</v>
      </c>
      <c r="W453" s="145">
        <f t="shared" si="248"/>
        <v>0</v>
      </c>
      <c r="X453" s="145">
        <f t="shared" si="248"/>
        <v>0</v>
      </c>
      <c r="Y453" s="145">
        <f t="shared" si="248"/>
        <v>0</v>
      </c>
      <c r="Z453" s="145">
        <f t="shared" si="248"/>
        <v>0</v>
      </c>
      <c r="AA453" s="145">
        <f t="shared" si="248"/>
        <v>0</v>
      </c>
      <c r="AB453" s="145">
        <f t="shared" si="248"/>
        <v>0</v>
      </c>
      <c r="AC453" s="146">
        <f t="shared" si="248"/>
        <v>0</v>
      </c>
      <c r="AD453" s="33">
        <v>20000</v>
      </c>
      <c r="AE453" s="33">
        <v>20000</v>
      </c>
      <c r="AF453" s="127">
        <f>AE453*100/AD453</f>
        <v>100</v>
      </c>
    </row>
    <row r="454" spans="1:32" outlineLevel="1" x14ac:dyDescent="0.25">
      <c r="A454" s="4" t="s">
        <v>435</v>
      </c>
      <c r="B454" s="75" t="s">
        <v>495</v>
      </c>
      <c r="C454" s="25"/>
      <c r="D454" s="92">
        <v>1</v>
      </c>
      <c r="E454" s="110">
        <v>20000</v>
      </c>
      <c r="F454" s="93">
        <f>D454*E454</f>
        <v>20000</v>
      </c>
      <c r="G454" s="74">
        <f t="shared" si="225"/>
        <v>0</v>
      </c>
      <c r="H454" s="95">
        <f t="shared" si="220"/>
        <v>20000</v>
      </c>
      <c r="I454" s="112"/>
      <c r="J454" s="57">
        <v>2000</v>
      </c>
      <c r="K454" s="57">
        <v>15000</v>
      </c>
      <c r="L454" s="57"/>
      <c r="M454" s="57"/>
      <c r="N454" s="57">
        <v>3000</v>
      </c>
      <c r="O454" s="57"/>
      <c r="P454" s="68"/>
      <c r="Q454" s="58"/>
      <c r="R454" s="170">
        <f>P454*Q454</f>
        <v>0</v>
      </c>
      <c r="S454" s="89">
        <f t="shared" si="249"/>
        <v>0</v>
      </c>
      <c r="T454" s="216">
        <f t="shared" si="250"/>
        <v>0</v>
      </c>
      <c r="U454" s="147"/>
      <c r="V454" s="148"/>
      <c r="W454" s="148"/>
      <c r="X454" s="148"/>
      <c r="Y454" s="148"/>
      <c r="Z454" s="148"/>
      <c r="AA454" s="148"/>
      <c r="AB454" s="149"/>
      <c r="AC454" s="150"/>
      <c r="AD454" s="76"/>
      <c r="AE454" s="76"/>
      <c r="AF454" s="128"/>
    </row>
    <row r="455" spans="1:32" s="2" customFormat="1" ht="21" x14ac:dyDescent="0.35">
      <c r="A455" s="8" t="s">
        <v>436</v>
      </c>
      <c r="B455" s="12" t="s">
        <v>416</v>
      </c>
      <c r="C455" s="21"/>
      <c r="D455" s="22"/>
      <c r="E455" s="15"/>
      <c r="F455" s="84">
        <f>F456+F461+F465+F468+F471+F477+F480</f>
        <v>273497</v>
      </c>
      <c r="G455" s="89">
        <f t="shared" si="225"/>
        <v>7335.5275000000256</v>
      </c>
      <c r="H455" s="16">
        <f t="shared" si="220"/>
        <v>280832.52750000003</v>
      </c>
      <c r="I455" s="51">
        <f t="shared" ref="I455:Q455" si="251">I456+I461+I465+I468+I471+I477+I480</f>
        <v>2900</v>
      </c>
      <c r="J455" s="51">
        <f t="shared" si="251"/>
        <v>47525</v>
      </c>
      <c r="K455" s="51">
        <f t="shared" si="251"/>
        <v>108196.38249999999</v>
      </c>
      <c r="L455" s="51">
        <f t="shared" si="251"/>
        <v>108046.745</v>
      </c>
      <c r="M455" s="51">
        <f t="shared" si="251"/>
        <v>0</v>
      </c>
      <c r="N455" s="51">
        <f t="shared" si="251"/>
        <v>13000</v>
      </c>
      <c r="O455" s="51">
        <f t="shared" si="251"/>
        <v>400</v>
      </c>
      <c r="P455" s="51">
        <f t="shared" si="251"/>
        <v>0</v>
      </c>
      <c r="Q455" s="59">
        <f t="shared" si="251"/>
        <v>764.4</v>
      </c>
      <c r="R455" s="168">
        <f>R456+R461+R465+R468+R471+R477+R480</f>
        <v>41336.285000000003</v>
      </c>
      <c r="S455" s="89">
        <f t="shared" si="249"/>
        <v>14094.434999999998</v>
      </c>
      <c r="T455" s="216">
        <f t="shared" si="250"/>
        <v>55430.720000000001</v>
      </c>
      <c r="U455" s="144">
        <f>U456+U461+U465+U468+U471+U477+U480</f>
        <v>0</v>
      </c>
      <c r="V455" s="144">
        <f>10740+3315</f>
        <v>14055</v>
      </c>
      <c r="W455" s="218">
        <f>22300.5+18960.5</f>
        <v>41261</v>
      </c>
      <c r="X455" s="220">
        <v>114.72</v>
      </c>
      <c r="Y455" s="144">
        <f>Y456+Y461+Y465+Y468+Y471+Y477+Y480</f>
        <v>0</v>
      </c>
      <c r="Z455" s="144">
        <f>Z456+Z461+Z465+Z468+Z471+Z477+Z480</f>
        <v>0</v>
      </c>
      <c r="AA455" s="144">
        <f>AA456+AA461+AA465+AA468+AA471+AA477+AA480</f>
        <v>0</v>
      </c>
      <c r="AB455" s="144">
        <f>AB456+AB461+AB465+AB468+AB471+AB477+AB480</f>
        <v>0</v>
      </c>
      <c r="AC455" s="151">
        <f>AC456+AC461+AC465+AC468+AC471+AC477+AC480</f>
        <v>0</v>
      </c>
      <c r="AD455" s="32">
        <f>+AD456+AD461+AD465+AD468+AD471+AD477+AD480</f>
        <v>294026</v>
      </c>
      <c r="AE455" s="32">
        <f>AE456+AE461+AE465+AE468+AE471+AE477+AE480</f>
        <v>284290.51</v>
      </c>
      <c r="AF455" s="126">
        <f>AE455*100/AD455</f>
        <v>96.688901661757811</v>
      </c>
    </row>
    <row r="456" spans="1:32" s="3" customFormat="1" ht="15.75" x14ac:dyDescent="0.25">
      <c r="A456" s="7" t="s">
        <v>438</v>
      </c>
      <c r="B456" s="13" t="s">
        <v>265</v>
      </c>
      <c r="C456" s="23"/>
      <c r="D456" s="24"/>
      <c r="E456" s="17"/>
      <c r="F456" s="82">
        <f>SUM(F457:F460)</f>
        <v>1000</v>
      </c>
      <c r="G456" s="89">
        <f t="shared" si="225"/>
        <v>0</v>
      </c>
      <c r="H456" s="18">
        <f t="shared" si="220"/>
        <v>1000</v>
      </c>
      <c r="I456" s="54">
        <f t="shared" ref="I456:Q456" si="252">SUM(I457:I460)</f>
        <v>1000</v>
      </c>
      <c r="J456" s="55">
        <f t="shared" si="252"/>
        <v>0</v>
      </c>
      <c r="K456" s="55">
        <f t="shared" si="252"/>
        <v>0</v>
      </c>
      <c r="L456" s="55">
        <f t="shared" si="252"/>
        <v>0</v>
      </c>
      <c r="M456" s="55">
        <f>SUM(M457:M460)</f>
        <v>0</v>
      </c>
      <c r="N456" s="55">
        <f t="shared" si="252"/>
        <v>0</v>
      </c>
      <c r="O456" s="55">
        <f t="shared" si="252"/>
        <v>0</v>
      </c>
      <c r="P456" s="55">
        <f t="shared" si="252"/>
        <v>0</v>
      </c>
      <c r="Q456" s="56">
        <f t="shared" si="252"/>
        <v>0</v>
      </c>
      <c r="R456" s="169">
        <f>SUM(R457:R460)</f>
        <v>0</v>
      </c>
      <c r="S456" s="89">
        <f t="shared" si="249"/>
        <v>0</v>
      </c>
      <c r="T456" s="216">
        <f t="shared" si="250"/>
        <v>0</v>
      </c>
      <c r="U456" s="144">
        <f t="shared" ref="U456:AC456" si="253">SUM(U457:U460)</f>
        <v>0</v>
      </c>
      <c r="V456" s="145">
        <f t="shared" si="253"/>
        <v>0</v>
      </c>
      <c r="W456" s="145">
        <f t="shared" si="253"/>
        <v>0</v>
      </c>
      <c r="X456" s="145">
        <f t="shared" si="253"/>
        <v>0</v>
      </c>
      <c r="Y456" s="145">
        <f t="shared" si="253"/>
        <v>0</v>
      </c>
      <c r="Z456" s="145">
        <f t="shared" si="253"/>
        <v>0</v>
      </c>
      <c r="AA456" s="145">
        <f t="shared" si="253"/>
        <v>0</v>
      </c>
      <c r="AB456" s="145">
        <f t="shared" si="253"/>
        <v>0</v>
      </c>
      <c r="AC456" s="146">
        <f t="shared" si="253"/>
        <v>0</v>
      </c>
      <c r="AD456" s="33">
        <v>700</v>
      </c>
      <c r="AE456" s="33">
        <f>142.2+96.94</f>
        <v>239.14</v>
      </c>
      <c r="AF456" s="127">
        <f>AE456*100/AD456</f>
        <v>34.162857142857142</v>
      </c>
    </row>
    <row r="457" spans="1:32" outlineLevel="1" x14ac:dyDescent="0.25">
      <c r="A457" s="5" t="s">
        <v>439</v>
      </c>
      <c r="B457" s="75" t="s">
        <v>281</v>
      </c>
      <c r="C457" s="25"/>
      <c r="D457" s="92">
        <v>1</v>
      </c>
      <c r="E457" s="110">
        <v>200</v>
      </c>
      <c r="F457" s="93">
        <f>D457*E457</f>
        <v>200</v>
      </c>
      <c r="G457" s="74">
        <f t="shared" si="225"/>
        <v>0</v>
      </c>
      <c r="H457" s="95">
        <f t="shared" si="220"/>
        <v>200</v>
      </c>
      <c r="I457" s="112">
        <v>200</v>
      </c>
      <c r="J457" s="57"/>
      <c r="K457" s="57"/>
      <c r="L457" s="57"/>
      <c r="M457" s="57"/>
      <c r="N457" s="57"/>
      <c r="O457" s="57"/>
      <c r="P457" s="68"/>
      <c r="Q457" s="58"/>
      <c r="R457" s="170">
        <f>P457*Q457</f>
        <v>0</v>
      </c>
      <c r="S457" s="89">
        <f t="shared" si="249"/>
        <v>0</v>
      </c>
      <c r="T457" s="216">
        <f t="shared" si="250"/>
        <v>0</v>
      </c>
      <c r="U457" s="147"/>
      <c r="V457" s="148"/>
      <c r="W457" s="148"/>
      <c r="X457" s="148"/>
      <c r="Y457" s="148"/>
      <c r="Z457" s="148"/>
      <c r="AA457" s="148"/>
      <c r="AB457" s="149"/>
      <c r="AC457" s="150"/>
      <c r="AD457" s="76"/>
      <c r="AE457" s="76"/>
      <c r="AF457" s="128"/>
    </row>
    <row r="458" spans="1:32" outlineLevel="1" x14ac:dyDescent="0.25">
      <c r="A458" s="4" t="s">
        <v>440</v>
      </c>
      <c r="B458" s="75" t="s">
        <v>309</v>
      </c>
      <c r="C458" s="25"/>
      <c r="D458" s="92">
        <v>4</v>
      </c>
      <c r="E458" s="110">
        <v>100</v>
      </c>
      <c r="F458" s="93">
        <f>D458*E458</f>
        <v>400</v>
      </c>
      <c r="G458" s="74">
        <f t="shared" si="225"/>
        <v>0</v>
      </c>
      <c r="H458" s="95">
        <f t="shared" si="220"/>
        <v>400</v>
      </c>
      <c r="I458" s="112">
        <v>400</v>
      </c>
      <c r="J458" s="57"/>
      <c r="K458" s="57"/>
      <c r="L458" s="57"/>
      <c r="M458" s="57"/>
      <c r="N458" s="57"/>
      <c r="O458" s="57"/>
      <c r="P458" s="68"/>
      <c r="Q458" s="58"/>
      <c r="R458" s="170">
        <f>P458*Q458</f>
        <v>0</v>
      </c>
      <c r="S458" s="89">
        <f t="shared" si="249"/>
        <v>0</v>
      </c>
      <c r="T458" s="216">
        <f t="shared" si="250"/>
        <v>0</v>
      </c>
      <c r="U458" s="147"/>
      <c r="V458" s="148"/>
      <c r="W458" s="148"/>
      <c r="X458" s="148"/>
      <c r="Y458" s="148"/>
      <c r="Z458" s="148"/>
      <c r="AA458" s="148"/>
      <c r="AB458" s="149"/>
      <c r="AC458" s="150"/>
      <c r="AD458" s="76"/>
      <c r="AE458" s="76"/>
      <c r="AF458" s="128"/>
    </row>
    <row r="459" spans="1:32" outlineLevel="1" x14ac:dyDescent="0.25">
      <c r="A459" s="4" t="s">
        <v>441</v>
      </c>
      <c r="B459" s="75" t="s">
        <v>285</v>
      </c>
      <c r="C459" s="25"/>
      <c r="D459" s="92">
        <v>4</v>
      </c>
      <c r="E459" s="110">
        <v>100</v>
      </c>
      <c r="F459" s="93">
        <f>D459*E459</f>
        <v>400</v>
      </c>
      <c r="G459" s="74">
        <f t="shared" si="225"/>
        <v>0</v>
      </c>
      <c r="H459" s="95">
        <f t="shared" si="220"/>
        <v>400</v>
      </c>
      <c r="I459" s="112">
        <v>400</v>
      </c>
      <c r="J459" s="57"/>
      <c r="K459" s="57"/>
      <c r="L459" s="57"/>
      <c r="M459" s="57"/>
      <c r="N459" s="57"/>
      <c r="O459" s="57"/>
      <c r="P459" s="68"/>
      <c r="Q459" s="58"/>
      <c r="R459" s="170">
        <f>P459*Q459</f>
        <v>0</v>
      </c>
      <c r="S459" s="89">
        <f t="shared" si="249"/>
        <v>0</v>
      </c>
      <c r="T459" s="216">
        <f t="shared" si="250"/>
        <v>0</v>
      </c>
      <c r="U459" s="147"/>
      <c r="V459" s="148"/>
      <c r="W459" s="148"/>
      <c r="X459" s="148"/>
      <c r="Y459" s="148"/>
      <c r="Z459" s="148"/>
      <c r="AA459" s="148"/>
      <c r="AB459" s="149"/>
      <c r="AC459" s="150"/>
      <c r="AD459" s="76"/>
      <c r="AE459" s="76"/>
      <c r="AF459" s="128"/>
    </row>
    <row r="460" spans="1:32" outlineLevel="1" x14ac:dyDescent="0.25">
      <c r="A460" s="4" t="s">
        <v>442</v>
      </c>
      <c r="B460" s="75" t="s">
        <v>47</v>
      </c>
      <c r="C460" s="25"/>
      <c r="D460" s="92">
        <v>0</v>
      </c>
      <c r="E460" s="110">
        <v>0</v>
      </c>
      <c r="F460" s="93">
        <f>D460*E460</f>
        <v>0</v>
      </c>
      <c r="G460" s="74">
        <f t="shared" si="225"/>
        <v>0</v>
      </c>
      <c r="H460" s="95">
        <f t="shared" si="220"/>
        <v>0</v>
      </c>
      <c r="I460" s="112">
        <f>F460</f>
        <v>0</v>
      </c>
      <c r="J460" s="57"/>
      <c r="K460" s="57"/>
      <c r="L460" s="57"/>
      <c r="M460" s="57"/>
      <c r="N460" s="57"/>
      <c r="O460" s="57"/>
      <c r="P460" s="68"/>
      <c r="Q460" s="58"/>
      <c r="R460" s="170">
        <f>P460*Q460</f>
        <v>0</v>
      </c>
      <c r="S460" s="89">
        <f t="shared" si="249"/>
        <v>0</v>
      </c>
      <c r="T460" s="216">
        <f t="shared" si="250"/>
        <v>0</v>
      </c>
      <c r="U460" s="147"/>
      <c r="V460" s="148"/>
      <c r="W460" s="148"/>
      <c r="X460" s="148"/>
      <c r="Y460" s="148"/>
      <c r="Z460" s="148"/>
      <c r="AA460" s="148"/>
      <c r="AB460" s="149"/>
      <c r="AC460" s="150"/>
      <c r="AD460" s="76"/>
      <c r="AE460" s="76"/>
      <c r="AF460" s="128"/>
    </row>
    <row r="461" spans="1:32" s="3" customFormat="1" ht="15.75" x14ac:dyDescent="0.25">
      <c r="A461" s="7" t="s">
        <v>443</v>
      </c>
      <c r="B461" s="13" t="s">
        <v>248</v>
      </c>
      <c r="C461" s="23"/>
      <c r="D461" s="24"/>
      <c r="E461" s="17"/>
      <c r="F461" s="82">
        <f>SUM(F462:F464)</f>
        <v>14000</v>
      </c>
      <c r="G461" s="89">
        <f t="shared" si="225"/>
        <v>0</v>
      </c>
      <c r="H461" s="18">
        <f t="shared" si="220"/>
        <v>14000</v>
      </c>
      <c r="I461" s="54">
        <f t="shared" ref="I461:Q461" si="254">SUM(I462:I464)</f>
        <v>0</v>
      </c>
      <c r="J461" s="55">
        <f t="shared" si="254"/>
        <v>14000</v>
      </c>
      <c r="K461" s="55">
        <f t="shared" si="254"/>
        <v>0</v>
      </c>
      <c r="L461" s="55">
        <f t="shared" si="254"/>
        <v>0</v>
      </c>
      <c r="M461" s="55">
        <f t="shared" si="254"/>
        <v>0</v>
      </c>
      <c r="N461" s="55">
        <f t="shared" si="254"/>
        <v>0</v>
      </c>
      <c r="O461" s="55">
        <f t="shared" si="254"/>
        <v>0</v>
      </c>
      <c r="P461" s="55">
        <f t="shared" si="254"/>
        <v>0</v>
      </c>
      <c r="Q461" s="56">
        <f t="shared" si="254"/>
        <v>0</v>
      </c>
      <c r="R461" s="169">
        <f>SUM(R462:R464)</f>
        <v>5102.5300000000007</v>
      </c>
      <c r="S461" s="89">
        <f t="shared" si="249"/>
        <v>-5102.5300000000007</v>
      </c>
      <c r="T461" s="216">
        <f t="shared" si="250"/>
        <v>0</v>
      </c>
      <c r="U461" s="144">
        <f>SUM(U462:U464)</f>
        <v>0</v>
      </c>
      <c r="V461" s="145">
        <f t="shared" ref="V461:AC461" si="255">SUM(V462:V464)</f>
        <v>0</v>
      </c>
      <c r="W461" s="145">
        <f t="shared" si="255"/>
        <v>0</v>
      </c>
      <c r="X461" s="145">
        <f t="shared" si="255"/>
        <v>0</v>
      </c>
      <c r="Y461" s="145">
        <f t="shared" si="255"/>
        <v>0</v>
      </c>
      <c r="Z461" s="145">
        <f t="shared" si="255"/>
        <v>0</v>
      </c>
      <c r="AA461" s="145">
        <f t="shared" si="255"/>
        <v>0</v>
      </c>
      <c r="AB461" s="145">
        <f t="shared" si="255"/>
        <v>0</v>
      </c>
      <c r="AC461" s="146">
        <f t="shared" si="255"/>
        <v>0</v>
      </c>
      <c r="AD461" s="33">
        <v>21146</v>
      </c>
      <c r="AE461" s="33">
        <v>17009.509999999998</v>
      </c>
      <c r="AF461" s="127">
        <f>AE461*100/AD461</f>
        <v>80.438428071502869</v>
      </c>
    </row>
    <row r="462" spans="1:32" outlineLevel="1" x14ac:dyDescent="0.25">
      <c r="A462" s="4" t="s">
        <v>444</v>
      </c>
      <c r="B462" s="75" t="s">
        <v>863</v>
      </c>
      <c r="C462" s="25"/>
      <c r="D462" s="92">
        <v>1</v>
      </c>
      <c r="E462" s="110">
        <v>3000</v>
      </c>
      <c r="F462" s="93">
        <f>D462*E462</f>
        <v>3000</v>
      </c>
      <c r="G462" s="74">
        <f t="shared" si="225"/>
        <v>0</v>
      </c>
      <c r="H462" s="95">
        <f t="shared" si="220"/>
        <v>3000</v>
      </c>
      <c r="I462" s="112"/>
      <c r="J462" s="57">
        <f>F462</f>
        <v>3000</v>
      </c>
      <c r="K462" s="57"/>
      <c r="L462" s="57"/>
      <c r="M462" s="57"/>
      <c r="N462" s="57"/>
      <c r="O462" s="57"/>
      <c r="P462" s="68"/>
      <c r="Q462" s="58"/>
      <c r="R462" s="170">
        <v>2535.84</v>
      </c>
      <c r="S462" s="89">
        <f t="shared" si="249"/>
        <v>-2535.84</v>
      </c>
      <c r="T462" s="216">
        <f t="shared" si="250"/>
        <v>0</v>
      </c>
      <c r="U462" s="147"/>
      <c r="V462" s="148">
        <f>O462</f>
        <v>0</v>
      </c>
      <c r="W462" s="148"/>
      <c r="X462" s="148"/>
      <c r="Y462" s="148"/>
      <c r="Z462" s="148"/>
      <c r="AA462" s="148"/>
      <c r="AB462" s="149"/>
      <c r="AC462" s="150"/>
      <c r="AD462" s="76"/>
      <c r="AE462" s="76"/>
      <c r="AF462" s="128"/>
    </row>
    <row r="463" spans="1:32" outlineLevel="1" x14ac:dyDescent="0.25">
      <c r="A463" s="4" t="s">
        <v>445</v>
      </c>
      <c r="B463" s="75" t="s">
        <v>864</v>
      </c>
      <c r="C463" s="25"/>
      <c r="D463" s="92">
        <v>1</v>
      </c>
      <c r="E463" s="110">
        <v>7000</v>
      </c>
      <c r="F463" s="93">
        <f>D463*E463</f>
        <v>7000</v>
      </c>
      <c r="G463" s="74">
        <f t="shared" si="225"/>
        <v>0</v>
      </c>
      <c r="H463" s="95">
        <f t="shared" si="220"/>
        <v>7000</v>
      </c>
      <c r="I463" s="112"/>
      <c r="J463" s="57">
        <f>F463</f>
        <v>7000</v>
      </c>
      <c r="K463" s="57"/>
      <c r="L463" s="57"/>
      <c r="M463" s="57"/>
      <c r="N463" s="57"/>
      <c r="O463" s="57"/>
      <c r="P463" s="68"/>
      <c r="Q463" s="58"/>
      <c r="R463" s="170">
        <f>P463*Q463</f>
        <v>0</v>
      </c>
      <c r="S463" s="89">
        <f t="shared" si="249"/>
        <v>0</v>
      </c>
      <c r="T463" s="216">
        <f t="shared" si="250"/>
        <v>0</v>
      </c>
      <c r="U463" s="147"/>
      <c r="V463" s="148">
        <f>O463</f>
        <v>0</v>
      </c>
      <c r="W463" s="148"/>
      <c r="X463" s="148"/>
      <c r="Y463" s="148"/>
      <c r="Z463" s="148"/>
      <c r="AA463" s="148"/>
      <c r="AB463" s="149"/>
      <c r="AC463" s="150"/>
      <c r="AD463" s="76"/>
      <c r="AE463" s="76"/>
      <c r="AF463" s="128"/>
    </row>
    <row r="464" spans="1:32" outlineLevel="1" x14ac:dyDescent="0.25">
      <c r="A464" s="4" t="s">
        <v>446</v>
      </c>
      <c r="B464" s="75" t="s">
        <v>865</v>
      </c>
      <c r="C464" s="25"/>
      <c r="D464" s="92">
        <v>1</v>
      </c>
      <c r="E464" s="110">
        <v>4000</v>
      </c>
      <c r="F464" s="93">
        <f>D464*E464</f>
        <v>4000</v>
      </c>
      <c r="G464" s="74">
        <f t="shared" si="225"/>
        <v>0</v>
      </c>
      <c r="H464" s="95">
        <f t="shared" ref="H464:H527" si="256">SUM(I464:Q464)</f>
        <v>4000</v>
      </c>
      <c r="I464" s="112"/>
      <c r="J464" s="57">
        <f>F464</f>
        <v>4000</v>
      </c>
      <c r="K464" s="57"/>
      <c r="L464" s="57"/>
      <c r="M464" s="57"/>
      <c r="N464" s="57"/>
      <c r="O464" s="57"/>
      <c r="P464" s="68"/>
      <c r="Q464" s="58"/>
      <c r="R464" s="170">
        <v>2566.69</v>
      </c>
      <c r="S464" s="89">
        <f t="shared" si="249"/>
        <v>-2566.69</v>
      </c>
      <c r="T464" s="216">
        <f t="shared" si="250"/>
        <v>0</v>
      </c>
      <c r="U464" s="147"/>
      <c r="V464" s="148"/>
      <c r="W464" s="148"/>
      <c r="X464" s="148"/>
      <c r="Y464" s="148"/>
      <c r="Z464" s="148"/>
      <c r="AA464" s="148"/>
      <c r="AB464" s="149"/>
      <c r="AC464" s="150"/>
      <c r="AD464" s="76"/>
      <c r="AE464" s="76"/>
      <c r="AF464" s="128"/>
    </row>
    <row r="465" spans="1:32" s="3" customFormat="1" ht="15.75" x14ac:dyDescent="0.25">
      <c r="A465" s="7" t="s">
        <v>447</v>
      </c>
      <c r="B465" s="13" t="s">
        <v>656</v>
      </c>
      <c r="C465" s="23"/>
      <c r="D465" s="24"/>
      <c r="E465" s="17"/>
      <c r="F465" s="82">
        <f>SUM(F466:F467)</f>
        <v>60000</v>
      </c>
      <c r="G465" s="89">
        <f t="shared" si="225"/>
        <v>7334.8824999999924</v>
      </c>
      <c r="H465" s="18">
        <f t="shared" si="256"/>
        <v>67334.882499999992</v>
      </c>
      <c r="I465" s="54">
        <f t="shared" ref="I465:Q465" si="257">SUM(I466:I467)</f>
        <v>0</v>
      </c>
      <c r="J465" s="55">
        <f t="shared" si="257"/>
        <v>11400</v>
      </c>
      <c r="K465" s="55">
        <f t="shared" si="257"/>
        <v>36574.732499999998</v>
      </c>
      <c r="L465" s="55">
        <f t="shared" si="257"/>
        <v>19360.149999999998</v>
      </c>
      <c r="M465" s="55">
        <f t="shared" si="257"/>
        <v>0</v>
      </c>
      <c r="N465" s="55">
        <f t="shared" si="257"/>
        <v>0</v>
      </c>
      <c r="O465" s="55">
        <f t="shared" si="257"/>
        <v>0</v>
      </c>
      <c r="P465" s="55">
        <f t="shared" si="257"/>
        <v>0</v>
      </c>
      <c r="Q465" s="56">
        <f t="shared" si="257"/>
        <v>0</v>
      </c>
      <c r="R465" s="169">
        <f>SUM(R466:R467)</f>
        <v>16433</v>
      </c>
      <c r="S465" s="89">
        <f t="shared" si="249"/>
        <v>-16433</v>
      </c>
      <c r="T465" s="216">
        <f t="shared" si="250"/>
        <v>0</v>
      </c>
      <c r="U465" s="144">
        <f>SUM(U466:U467)</f>
        <v>0</v>
      </c>
      <c r="V465" s="145">
        <f t="shared" ref="V465:AC465" si="258">SUM(V466:V467)</f>
        <v>0</v>
      </c>
      <c r="W465" s="145">
        <f t="shared" si="258"/>
        <v>0</v>
      </c>
      <c r="X465" s="145">
        <f t="shared" si="258"/>
        <v>0</v>
      </c>
      <c r="Y465" s="145">
        <f t="shared" si="258"/>
        <v>0</v>
      </c>
      <c r="Z465" s="145">
        <f t="shared" si="258"/>
        <v>0</v>
      </c>
      <c r="AA465" s="145">
        <f t="shared" si="258"/>
        <v>0</v>
      </c>
      <c r="AB465" s="145">
        <f t="shared" si="258"/>
        <v>0</v>
      </c>
      <c r="AC465" s="146">
        <f t="shared" si="258"/>
        <v>0</v>
      </c>
      <c r="AD465" s="33">
        <f>50000+12000</f>
        <v>62000</v>
      </c>
      <c r="AE465" s="33">
        <f>68282.85-5840.26</f>
        <v>62442.590000000004</v>
      </c>
      <c r="AF465" s="127">
        <f>AE465*100/AD465</f>
        <v>100.71385483870968</v>
      </c>
    </row>
    <row r="466" spans="1:32" outlineLevel="1" x14ac:dyDescent="0.25">
      <c r="A466" s="4" t="s">
        <v>448</v>
      </c>
      <c r="B466" s="75" t="s">
        <v>862</v>
      </c>
      <c r="C466" s="25"/>
      <c r="D466" s="92">
        <v>1</v>
      </c>
      <c r="E466" s="110">
        <v>60000</v>
      </c>
      <c r="F466" s="93">
        <f>D466*E466</f>
        <v>60000</v>
      </c>
      <c r="G466" s="74">
        <f t="shared" si="225"/>
        <v>7334.8824999999924</v>
      </c>
      <c r="H466" s="95">
        <f t="shared" si="256"/>
        <v>67334.882499999992</v>
      </c>
      <c r="I466" s="112"/>
      <c r="J466" s="57">
        <f>12700-1300</f>
        <v>11400</v>
      </c>
      <c r="K466" s="57">
        <f>53591*0.95*0.85-4000-2000-700</f>
        <v>36574.732499999998</v>
      </c>
      <c r="L466" s="57">
        <f>26659*0.85-3300</f>
        <v>19360.149999999998</v>
      </c>
      <c r="M466" s="57"/>
      <c r="N466" s="57"/>
      <c r="O466" s="57"/>
      <c r="P466" s="68"/>
      <c r="Q466" s="58"/>
      <c r="R466" s="170">
        <v>16433</v>
      </c>
      <c r="S466" s="89">
        <f t="shared" si="249"/>
        <v>-16433</v>
      </c>
      <c r="T466" s="216">
        <f t="shared" si="250"/>
        <v>0</v>
      </c>
      <c r="U466" s="147"/>
      <c r="V466" s="148"/>
      <c r="W466" s="148"/>
      <c r="X466" s="148"/>
      <c r="Y466" s="148"/>
      <c r="Z466" s="148"/>
      <c r="AA466" s="148"/>
      <c r="AB466" s="149"/>
      <c r="AC466" s="150"/>
      <c r="AD466" s="76"/>
      <c r="AE466" s="76"/>
      <c r="AF466" s="128"/>
    </row>
    <row r="467" spans="1:32" outlineLevel="1" x14ac:dyDescent="0.25">
      <c r="A467" s="4" t="s">
        <v>449</v>
      </c>
      <c r="B467" s="75" t="s">
        <v>47</v>
      </c>
      <c r="C467" s="25"/>
      <c r="D467" s="92"/>
      <c r="E467" s="110"/>
      <c r="F467" s="93">
        <f>D467*E467</f>
        <v>0</v>
      </c>
      <c r="G467" s="74">
        <f t="shared" si="225"/>
        <v>0</v>
      </c>
      <c r="H467" s="95">
        <f t="shared" si="256"/>
        <v>0</v>
      </c>
      <c r="I467" s="112"/>
      <c r="J467" s="57"/>
      <c r="K467" s="57"/>
      <c r="L467" s="57"/>
      <c r="M467" s="57"/>
      <c r="N467" s="57"/>
      <c r="O467" s="57"/>
      <c r="P467" s="68"/>
      <c r="Q467" s="58"/>
      <c r="R467" s="170">
        <f>P467*Q467</f>
        <v>0</v>
      </c>
      <c r="S467" s="89">
        <f t="shared" si="249"/>
        <v>0</v>
      </c>
      <c r="T467" s="216">
        <f t="shared" si="250"/>
        <v>0</v>
      </c>
      <c r="U467" s="147"/>
      <c r="V467" s="148"/>
      <c r="W467" s="148"/>
      <c r="X467" s="148"/>
      <c r="Y467" s="148"/>
      <c r="Z467" s="148"/>
      <c r="AA467" s="148"/>
      <c r="AB467" s="149"/>
      <c r="AC467" s="150"/>
      <c r="AD467" s="76"/>
      <c r="AE467" s="76"/>
      <c r="AF467" s="128"/>
    </row>
    <row r="468" spans="1:32" s="3" customFormat="1" ht="15.75" x14ac:dyDescent="0.25">
      <c r="A468" s="7" t="s">
        <v>450</v>
      </c>
      <c r="B468" s="13" t="s">
        <v>657</v>
      </c>
      <c r="C468" s="23"/>
      <c r="D468" s="24"/>
      <c r="E468" s="17"/>
      <c r="F468" s="82">
        <f>SUM(F469:F470)</f>
        <v>90000</v>
      </c>
      <c r="G468" s="89">
        <f t="shared" si="225"/>
        <v>-0.20500000000174623</v>
      </c>
      <c r="H468" s="18">
        <f t="shared" si="256"/>
        <v>89999.794999999998</v>
      </c>
      <c r="I468" s="54">
        <f t="shared" ref="I468:Q468" si="259">SUM(I469:I470)</f>
        <v>0</v>
      </c>
      <c r="J468" s="55">
        <f t="shared" si="259"/>
        <v>0</v>
      </c>
      <c r="K468" s="55">
        <f t="shared" si="259"/>
        <v>34807.25</v>
      </c>
      <c r="L468" s="55">
        <f t="shared" si="259"/>
        <v>55192.544999999998</v>
      </c>
      <c r="M468" s="55">
        <f t="shared" si="259"/>
        <v>0</v>
      </c>
      <c r="N468" s="55">
        <f t="shared" si="259"/>
        <v>0</v>
      </c>
      <c r="O468" s="55">
        <f t="shared" si="259"/>
        <v>0</v>
      </c>
      <c r="P468" s="55">
        <f t="shared" si="259"/>
        <v>0</v>
      </c>
      <c r="Q468" s="56">
        <f t="shared" si="259"/>
        <v>0</v>
      </c>
      <c r="R468" s="169">
        <f>SUM(R469:R470)</f>
        <v>13993.37</v>
      </c>
      <c r="S468" s="89">
        <f t="shared" si="249"/>
        <v>-13993.37</v>
      </c>
      <c r="T468" s="216">
        <f t="shared" si="250"/>
        <v>0</v>
      </c>
      <c r="U468" s="144">
        <f>SUM(U469:U470)</f>
        <v>0</v>
      </c>
      <c r="V468" s="145">
        <f t="shared" ref="V468:AC468" si="260">SUM(V469:V470)</f>
        <v>0</v>
      </c>
      <c r="W468" s="145">
        <f t="shared" si="260"/>
        <v>0</v>
      </c>
      <c r="X468" s="145">
        <f t="shared" si="260"/>
        <v>0</v>
      </c>
      <c r="Y468" s="145">
        <f t="shared" si="260"/>
        <v>0</v>
      </c>
      <c r="Z468" s="145">
        <f t="shared" si="260"/>
        <v>0</v>
      </c>
      <c r="AA468" s="145">
        <f t="shared" si="260"/>
        <v>0</v>
      </c>
      <c r="AB468" s="145">
        <f t="shared" si="260"/>
        <v>0</v>
      </c>
      <c r="AC468" s="146">
        <f t="shared" si="260"/>
        <v>0</v>
      </c>
      <c r="AD468" s="33">
        <f>85000+10000</f>
        <v>95000</v>
      </c>
      <c r="AE468" s="33">
        <f>106611.76-7800.3</f>
        <v>98811.459999999992</v>
      </c>
      <c r="AF468" s="127">
        <f>AE468*100/AD468</f>
        <v>104.01206315789474</v>
      </c>
    </row>
    <row r="469" spans="1:32" outlineLevel="1" x14ac:dyDescent="0.25">
      <c r="A469" s="4" t="s">
        <v>451</v>
      </c>
      <c r="B469" s="75" t="s">
        <v>862</v>
      </c>
      <c r="C469" s="25"/>
      <c r="D469" s="92">
        <v>1</v>
      </c>
      <c r="E469" s="110">
        <v>90000</v>
      </c>
      <c r="F469" s="93">
        <f>D469*E469</f>
        <v>90000</v>
      </c>
      <c r="G469" s="74">
        <f t="shared" si="225"/>
        <v>-0.20500000000174623</v>
      </c>
      <c r="H469" s="95">
        <f t="shared" si="256"/>
        <v>89999.794999999998</v>
      </c>
      <c r="I469" s="112"/>
      <c r="J469" s="57"/>
      <c r="K469" s="57">
        <f>62300*0.95*0.85-15500</f>
        <v>34807.25</v>
      </c>
      <c r="L469" s="57">
        <f>92653*0.9*0.85-15500-187</f>
        <v>55192.544999999998</v>
      </c>
      <c r="M469" s="57"/>
      <c r="N469" s="57"/>
      <c r="O469" s="57"/>
      <c r="P469" s="68"/>
      <c r="Q469" s="58"/>
      <c r="R469" s="170">
        <v>13993.37</v>
      </c>
      <c r="S469" s="89">
        <f t="shared" si="249"/>
        <v>-13993.37</v>
      </c>
      <c r="T469" s="216">
        <f t="shared" si="250"/>
        <v>0</v>
      </c>
      <c r="U469" s="147"/>
      <c r="V469" s="148"/>
      <c r="W469" s="187"/>
      <c r="X469" s="148"/>
      <c r="Y469" s="148"/>
      <c r="Z469" s="148"/>
      <c r="AA469" s="148"/>
      <c r="AB469" s="149"/>
      <c r="AC469" s="150"/>
      <c r="AD469" s="76"/>
      <c r="AE469" s="76"/>
      <c r="AF469" s="128"/>
    </row>
    <row r="470" spans="1:32" outlineLevel="1" x14ac:dyDescent="0.25">
      <c r="A470" s="6" t="s">
        <v>452</v>
      </c>
      <c r="B470" s="75" t="s">
        <v>47</v>
      </c>
      <c r="C470" s="25"/>
      <c r="D470" s="92"/>
      <c r="E470" s="110"/>
      <c r="F470" s="93">
        <f>D470*E470</f>
        <v>0</v>
      </c>
      <c r="G470" s="74">
        <f t="shared" ref="G470:G533" si="261">H470-F470</f>
        <v>0</v>
      </c>
      <c r="H470" s="95">
        <f t="shared" si="256"/>
        <v>0</v>
      </c>
      <c r="I470" s="112"/>
      <c r="J470" s="57"/>
      <c r="K470" s="57"/>
      <c r="L470" s="57"/>
      <c r="M470" s="57"/>
      <c r="N470" s="57"/>
      <c r="O470" s="57"/>
      <c r="P470" s="68"/>
      <c r="Q470" s="58"/>
      <c r="R470" s="170">
        <f>P470*Q470</f>
        <v>0</v>
      </c>
      <c r="S470" s="89">
        <f t="shared" si="249"/>
        <v>0</v>
      </c>
      <c r="T470" s="216">
        <f t="shared" si="250"/>
        <v>0</v>
      </c>
      <c r="U470" s="147"/>
      <c r="V470" s="148"/>
      <c r="W470" s="148"/>
      <c r="X470" s="148"/>
      <c r="Y470" s="148"/>
      <c r="Z470" s="148"/>
      <c r="AA470" s="148"/>
      <c r="AB470" s="149"/>
      <c r="AC470" s="150"/>
      <c r="AD470" s="76"/>
      <c r="AE470" s="76"/>
      <c r="AF470" s="128"/>
    </row>
    <row r="471" spans="1:32" s="3" customFormat="1" ht="15.75" x14ac:dyDescent="0.25">
      <c r="A471" s="7" t="s">
        <v>453</v>
      </c>
      <c r="B471" s="13" t="s">
        <v>286</v>
      </c>
      <c r="C471" s="23"/>
      <c r="D471" s="24"/>
      <c r="E471" s="17"/>
      <c r="F471" s="82">
        <f>SUM(F472:F476)</f>
        <v>74576</v>
      </c>
      <c r="G471" s="89">
        <f t="shared" si="261"/>
        <v>0.39999999999417923</v>
      </c>
      <c r="H471" s="18">
        <f t="shared" si="256"/>
        <v>74576.399999999994</v>
      </c>
      <c r="I471" s="54">
        <f t="shared" ref="I471:Q471" si="262">SUM(I472:I476)</f>
        <v>1900</v>
      </c>
      <c r="J471" s="55">
        <f t="shared" si="262"/>
        <v>21225</v>
      </c>
      <c r="K471" s="55">
        <f t="shared" si="262"/>
        <v>20300</v>
      </c>
      <c r="L471" s="55">
        <f t="shared" si="262"/>
        <v>16987</v>
      </c>
      <c r="M471" s="55">
        <f t="shared" si="262"/>
        <v>0</v>
      </c>
      <c r="N471" s="55">
        <f t="shared" si="262"/>
        <v>13000</v>
      </c>
      <c r="O471" s="55">
        <f t="shared" si="262"/>
        <v>400</v>
      </c>
      <c r="P471" s="55">
        <f t="shared" si="262"/>
        <v>0</v>
      </c>
      <c r="Q471" s="56">
        <f t="shared" si="262"/>
        <v>764.4</v>
      </c>
      <c r="R471" s="169">
        <f>SUM(R472:R476)</f>
        <v>4900.7649999999994</v>
      </c>
      <c r="S471" s="89">
        <f t="shared" si="249"/>
        <v>-4900.7649999999994</v>
      </c>
      <c r="T471" s="216">
        <f t="shared" si="250"/>
        <v>0</v>
      </c>
      <c r="U471" s="144">
        <f>SUM(U472:U476)</f>
        <v>0</v>
      </c>
      <c r="V471" s="145">
        <f t="shared" ref="V471:AC471" si="263">SUM(V472:V476)</f>
        <v>0</v>
      </c>
      <c r="W471" s="145">
        <f t="shared" si="263"/>
        <v>0</v>
      </c>
      <c r="X471" s="145">
        <f t="shared" si="263"/>
        <v>0</v>
      </c>
      <c r="Y471" s="145">
        <f t="shared" si="263"/>
        <v>0</v>
      </c>
      <c r="Z471" s="145">
        <f t="shared" si="263"/>
        <v>0</v>
      </c>
      <c r="AA471" s="145">
        <f t="shared" si="263"/>
        <v>0</v>
      </c>
      <c r="AB471" s="145">
        <f t="shared" si="263"/>
        <v>0</v>
      </c>
      <c r="AC471" s="146">
        <f t="shared" si="263"/>
        <v>0</v>
      </c>
      <c r="AD471" s="33">
        <v>79000</v>
      </c>
      <c r="AE471" s="33">
        <f>20847.44+39997.96+6545.77+2216.65</f>
        <v>69607.819999999992</v>
      </c>
      <c r="AF471" s="127">
        <f>AE471*100/AD471</f>
        <v>88.111164556962009</v>
      </c>
    </row>
    <row r="472" spans="1:32" outlineLevel="1" x14ac:dyDescent="0.25">
      <c r="A472" s="4" t="s">
        <v>454</v>
      </c>
      <c r="B472" s="75" t="s">
        <v>867</v>
      </c>
      <c r="C472" s="25"/>
      <c r="D472" s="92">
        <v>1</v>
      </c>
      <c r="E472" s="93">
        <v>24800</v>
      </c>
      <c r="F472" s="93">
        <f>D472*E472</f>
        <v>24800</v>
      </c>
      <c r="G472" s="74">
        <f t="shared" si="261"/>
        <v>0</v>
      </c>
      <c r="H472" s="95">
        <f t="shared" si="256"/>
        <v>24800</v>
      </c>
      <c r="I472" s="112"/>
      <c r="J472" s="57">
        <f>10700+7000-900</f>
        <v>16800</v>
      </c>
      <c r="K472" s="57">
        <f>4000+700</f>
        <v>4700</v>
      </c>
      <c r="L472" s="57">
        <v>3300</v>
      </c>
      <c r="M472" s="57"/>
      <c r="N472" s="57"/>
      <c r="O472" s="57"/>
      <c r="P472" s="68"/>
      <c r="Q472" s="58"/>
      <c r="R472" s="170">
        <v>303.94</v>
      </c>
      <c r="S472" s="89">
        <f t="shared" si="249"/>
        <v>-303.94</v>
      </c>
      <c r="T472" s="216">
        <f t="shared" si="250"/>
        <v>0</v>
      </c>
      <c r="U472" s="147"/>
      <c r="V472" s="148"/>
      <c r="W472" s="148"/>
      <c r="X472" s="148"/>
      <c r="Y472" s="148"/>
      <c r="Z472" s="148"/>
      <c r="AA472" s="148"/>
      <c r="AB472" s="149"/>
      <c r="AC472" s="150"/>
      <c r="AD472" s="76"/>
      <c r="AE472" s="76"/>
      <c r="AF472" s="128"/>
    </row>
    <row r="473" spans="1:32" outlineLevel="1" x14ac:dyDescent="0.25">
      <c r="A473" s="4" t="s">
        <v>455</v>
      </c>
      <c r="B473" s="75" t="s">
        <v>868</v>
      </c>
      <c r="C473" s="25"/>
      <c r="D473" s="92">
        <v>1</v>
      </c>
      <c r="E473" s="93">
        <v>49012</v>
      </c>
      <c r="F473" s="93">
        <f>D473*E473</f>
        <v>49012</v>
      </c>
      <c r="G473" s="74">
        <f t="shared" si="261"/>
        <v>0</v>
      </c>
      <c r="H473" s="95">
        <f t="shared" si="256"/>
        <v>49012</v>
      </c>
      <c r="I473" s="112">
        <v>1900</v>
      </c>
      <c r="J473" s="57">
        <v>4425</v>
      </c>
      <c r="K473" s="57">
        <v>15600</v>
      </c>
      <c r="L473" s="57">
        <f>15687-2000</f>
        <v>13687</v>
      </c>
      <c r="M473" s="57"/>
      <c r="N473" s="57">
        <v>13000</v>
      </c>
      <c r="O473" s="57">
        <v>400</v>
      </c>
      <c r="P473" s="68"/>
      <c r="Q473" s="58"/>
      <c r="R473" s="170">
        <v>4000</v>
      </c>
      <c r="S473" s="89">
        <f t="shared" si="249"/>
        <v>-4000</v>
      </c>
      <c r="T473" s="216">
        <f t="shared" si="250"/>
        <v>0</v>
      </c>
      <c r="U473" s="147"/>
      <c r="V473" s="148"/>
      <c r="W473" s="148"/>
      <c r="X473" s="148"/>
      <c r="Y473" s="148"/>
      <c r="Z473" s="148"/>
      <c r="AA473" s="148"/>
      <c r="AB473" s="149"/>
      <c r="AC473" s="150"/>
      <c r="AD473" s="76"/>
      <c r="AE473" s="76"/>
      <c r="AF473" s="128"/>
    </row>
    <row r="474" spans="1:32" outlineLevel="1" x14ac:dyDescent="0.25">
      <c r="A474" s="4" t="s">
        <v>658</v>
      </c>
      <c r="B474" s="75" t="s">
        <v>982</v>
      </c>
      <c r="C474" s="25"/>
      <c r="D474" s="92">
        <v>1</v>
      </c>
      <c r="E474" s="93">
        <v>382</v>
      </c>
      <c r="F474" s="93">
        <f>D474*E474</f>
        <v>382</v>
      </c>
      <c r="G474" s="74">
        <f t="shared" si="261"/>
        <v>0.39999999999997726</v>
      </c>
      <c r="H474" s="95">
        <f t="shared" si="256"/>
        <v>382.4</v>
      </c>
      <c r="I474" s="112"/>
      <c r="J474" s="57"/>
      <c r="K474" s="57"/>
      <c r="L474" s="57"/>
      <c r="M474" s="57"/>
      <c r="N474" s="57"/>
      <c r="O474" s="57"/>
      <c r="P474" s="68"/>
      <c r="Q474" s="58">
        <v>382.4</v>
      </c>
      <c r="R474" s="170"/>
      <c r="S474" s="89">
        <f t="shared" si="249"/>
        <v>0</v>
      </c>
      <c r="T474" s="216">
        <f t="shared" si="250"/>
        <v>0</v>
      </c>
      <c r="U474" s="147"/>
      <c r="V474" s="148"/>
      <c r="W474" s="148"/>
      <c r="X474" s="148"/>
      <c r="Y474" s="148"/>
      <c r="Z474" s="148"/>
      <c r="AA474" s="148"/>
      <c r="AB474" s="149"/>
      <c r="AC474" s="150"/>
      <c r="AD474" s="76"/>
      <c r="AE474" s="76"/>
      <c r="AF474" s="128"/>
    </row>
    <row r="475" spans="1:32" outlineLevel="1" x14ac:dyDescent="0.25">
      <c r="A475" s="4" t="s">
        <v>659</v>
      </c>
      <c r="B475" s="75" t="s">
        <v>983</v>
      </c>
      <c r="C475" s="25"/>
      <c r="D475" s="92">
        <v>1</v>
      </c>
      <c r="E475" s="93">
        <v>382</v>
      </c>
      <c r="F475" s="93">
        <f>D475*E475</f>
        <v>382</v>
      </c>
      <c r="G475" s="74">
        <f t="shared" si="261"/>
        <v>0</v>
      </c>
      <c r="H475" s="95">
        <f t="shared" si="256"/>
        <v>382</v>
      </c>
      <c r="I475" s="112"/>
      <c r="J475" s="57"/>
      <c r="K475" s="57"/>
      <c r="L475" s="57"/>
      <c r="M475" s="57"/>
      <c r="N475" s="57"/>
      <c r="O475" s="57"/>
      <c r="P475" s="68"/>
      <c r="Q475" s="58">
        <v>382</v>
      </c>
      <c r="R475" s="170">
        <v>596.82500000000005</v>
      </c>
      <c r="S475" s="89">
        <f t="shared" si="249"/>
        <v>-596.82500000000005</v>
      </c>
      <c r="T475" s="216">
        <f t="shared" si="250"/>
        <v>0</v>
      </c>
      <c r="U475" s="147"/>
      <c r="V475" s="148"/>
      <c r="W475" s="148"/>
      <c r="X475" s="148"/>
      <c r="Y475" s="148"/>
      <c r="Z475" s="148"/>
      <c r="AA475" s="148"/>
      <c r="AB475" s="149"/>
      <c r="AC475" s="150"/>
      <c r="AD475" s="76"/>
      <c r="AE475" s="76"/>
      <c r="AF475" s="128"/>
    </row>
    <row r="476" spans="1:32" outlineLevel="1" x14ac:dyDescent="0.25">
      <c r="A476" s="4" t="s">
        <v>660</v>
      </c>
      <c r="B476" s="75" t="s">
        <v>47</v>
      </c>
      <c r="C476" s="25"/>
      <c r="D476" s="92"/>
      <c r="E476" s="93"/>
      <c r="F476" s="93">
        <f>D476*E476</f>
        <v>0</v>
      </c>
      <c r="G476" s="74">
        <f t="shared" si="261"/>
        <v>0</v>
      </c>
      <c r="H476" s="95">
        <f t="shared" si="256"/>
        <v>0</v>
      </c>
      <c r="I476" s="112"/>
      <c r="J476" s="57"/>
      <c r="K476" s="57"/>
      <c r="L476" s="57"/>
      <c r="M476" s="57"/>
      <c r="N476" s="57"/>
      <c r="O476" s="57"/>
      <c r="P476" s="68"/>
      <c r="Q476" s="58"/>
      <c r="R476" s="170">
        <f>P476*Q476</f>
        <v>0</v>
      </c>
      <c r="S476" s="89">
        <f t="shared" si="249"/>
        <v>0</v>
      </c>
      <c r="T476" s="216">
        <f t="shared" si="250"/>
        <v>0</v>
      </c>
      <c r="U476" s="147"/>
      <c r="V476" s="148"/>
      <c r="W476" s="148"/>
      <c r="X476" s="148"/>
      <c r="Y476" s="148"/>
      <c r="Z476" s="148"/>
      <c r="AA476" s="148"/>
      <c r="AB476" s="149"/>
      <c r="AC476" s="150"/>
      <c r="AD476" s="76"/>
      <c r="AE476" s="76"/>
      <c r="AF476" s="128"/>
    </row>
    <row r="477" spans="1:32" s="3" customFormat="1" ht="15.75" x14ac:dyDescent="0.25">
      <c r="A477" s="7" t="s">
        <v>661</v>
      </c>
      <c r="B477" s="13" t="s">
        <v>250</v>
      </c>
      <c r="C477" s="23"/>
      <c r="D477" s="24"/>
      <c r="E477" s="17"/>
      <c r="F477" s="82">
        <f>SUM(F478:F479)</f>
        <v>900</v>
      </c>
      <c r="G477" s="89">
        <f t="shared" si="261"/>
        <v>0</v>
      </c>
      <c r="H477" s="18">
        <f t="shared" si="256"/>
        <v>900</v>
      </c>
      <c r="I477" s="54">
        <f>SUM(I478:I479)</f>
        <v>0</v>
      </c>
      <c r="J477" s="55">
        <f>SUM(J478:J479)</f>
        <v>900</v>
      </c>
      <c r="K477" s="55">
        <f>SUM(K478:K479)</f>
        <v>0</v>
      </c>
      <c r="L477" s="55"/>
      <c r="M477" s="55"/>
      <c r="N477" s="55">
        <f>SUM(N478:N479)</f>
        <v>0</v>
      </c>
      <c r="O477" s="55">
        <f>SUM(O478:O479)</f>
        <v>0</v>
      </c>
      <c r="P477" s="55">
        <f>SUM(P478:P479)</f>
        <v>0</v>
      </c>
      <c r="Q477" s="56">
        <f>SUM(Q478:Q479)</f>
        <v>0</v>
      </c>
      <c r="R477" s="169">
        <f>SUM(R478:R479)</f>
        <v>906.62</v>
      </c>
      <c r="S477" s="89">
        <f t="shared" si="249"/>
        <v>-906.62</v>
      </c>
      <c r="T477" s="216">
        <f t="shared" si="250"/>
        <v>0</v>
      </c>
      <c r="U477" s="144">
        <f>SUM(U478:U479)</f>
        <v>0</v>
      </c>
      <c r="V477" s="145">
        <f>SUM(V478:V479)</f>
        <v>0</v>
      </c>
      <c r="W477" s="145">
        <f>SUM(W478:W479)</f>
        <v>0</v>
      </c>
      <c r="X477" s="145"/>
      <c r="Y477" s="145"/>
      <c r="Z477" s="145">
        <f>SUM(Z478:Z479)</f>
        <v>0</v>
      </c>
      <c r="AA477" s="145">
        <f>SUM(AA478:AA479)</f>
        <v>0</v>
      </c>
      <c r="AB477" s="145">
        <f>SUM(AB478:AB479)</f>
        <v>0</v>
      </c>
      <c r="AC477" s="146">
        <f>SUM(AC478:AC479)</f>
        <v>0</v>
      </c>
      <c r="AD477" s="33">
        <v>900</v>
      </c>
      <c r="AE477" s="33">
        <v>900</v>
      </c>
      <c r="AF477" s="127">
        <f>AE477*100/AD477</f>
        <v>100</v>
      </c>
    </row>
    <row r="478" spans="1:32" outlineLevel="1" x14ac:dyDescent="0.25">
      <c r="A478" s="4" t="s">
        <v>662</v>
      </c>
      <c r="B478" s="75" t="s">
        <v>866</v>
      </c>
      <c r="C478" s="25"/>
      <c r="D478" s="92">
        <v>1</v>
      </c>
      <c r="E478" s="93">
        <v>900</v>
      </c>
      <c r="F478" s="93">
        <f>D478*E478</f>
        <v>900</v>
      </c>
      <c r="G478" s="74">
        <f t="shared" si="261"/>
        <v>0</v>
      </c>
      <c r="H478" s="95">
        <f t="shared" si="256"/>
        <v>900</v>
      </c>
      <c r="I478" s="112"/>
      <c r="J478" s="57">
        <v>900</v>
      </c>
      <c r="K478" s="57"/>
      <c r="L478" s="57"/>
      <c r="M478" s="57"/>
      <c r="N478" s="57"/>
      <c r="O478" s="57"/>
      <c r="P478" s="68"/>
      <c r="Q478" s="58"/>
      <c r="R478" s="170">
        <v>465.52</v>
      </c>
      <c r="S478" s="89">
        <f t="shared" si="249"/>
        <v>-465.52</v>
      </c>
      <c r="T478" s="216">
        <f t="shared" si="250"/>
        <v>0</v>
      </c>
      <c r="U478" s="147"/>
      <c r="V478" s="148"/>
      <c r="W478" s="148"/>
      <c r="X478" s="148"/>
      <c r="Y478" s="148"/>
      <c r="Z478" s="148"/>
      <c r="AA478" s="148"/>
      <c r="AB478" s="149"/>
      <c r="AC478" s="150"/>
      <c r="AD478" s="76"/>
      <c r="AE478" s="76"/>
      <c r="AF478" s="128"/>
    </row>
    <row r="479" spans="1:32" outlineLevel="1" x14ac:dyDescent="0.25">
      <c r="A479" s="4" t="s">
        <v>663</v>
      </c>
      <c r="B479" s="75" t="s">
        <v>47</v>
      </c>
      <c r="C479" s="25"/>
      <c r="D479" s="92"/>
      <c r="E479" s="93"/>
      <c r="F479" s="93">
        <f>D479*E479</f>
        <v>0</v>
      </c>
      <c r="G479" s="74">
        <f t="shared" si="261"/>
        <v>0</v>
      </c>
      <c r="H479" s="95">
        <f t="shared" si="256"/>
        <v>0</v>
      </c>
      <c r="I479" s="112"/>
      <c r="J479" s="57"/>
      <c r="K479" s="57"/>
      <c r="L479" s="57"/>
      <c r="M479" s="57"/>
      <c r="N479" s="57"/>
      <c r="O479" s="57"/>
      <c r="P479" s="68"/>
      <c r="Q479" s="58"/>
      <c r="R479" s="170">
        <v>441.1</v>
      </c>
      <c r="S479" s="89">
        <f t="shared" si="249"/>
        <v>-441.1</v>
      </c>
      <c r="T479" s="216">
        <f t="shared" si="250"/>
        <v>0</v>
      </c>
      <c r="U479" s="147"/>
      <c r="V479" s="148"/>
      <c r="W479" s="148"/>
      <c r="X479" s="148"/>
      <c r="Y479" s="148"/>
      <c r="Z479" s="148"/>
      <c r="AA479" s="148"/>
      <c r="AB479" s="149"/>
      <c r="AC479" s="150"/>
      <c r="AD479" s="76"/>
      <c r="AE479" s="76"/>
      <c r="AF479" s="128"/>
    </row>
    <row r="480" spans="1:32" s="3" customFormat="1" ht="15.75" x14ac:dyDescent="0.25">
      <c r="A480" s="7" t="s">
        <v>664</v>
      </c>
      <c r="B480" s="13" t="s">
        <v>495</v>
      </c>
      <c r="C480" s="23"/>
      <c r="D480" s="24"/>
      <c r="E480" s="82"/>
      <c r="F480" s="82">
        <f>SUM(F481:F481)</f>
        <v>33021</v>
      </c>
      <c r="G480" s="89">
        <f t="shared" si="261"/>
        <v>0.44999999999708962</v>
      </c>
      <c r="H480" s="18">
        <f t="shared" si="256"/>
        <v>33021.449999999997</v>
      </c>
      <c r="I480" s="54">
        <f t="shared" ref="I480:AC480" si="264">SUM(I481:I481)</f>
        <v>0</v>
      </c>
      <c r="J480" s="55">
        <f t="shared" si="264"/>
        <v>0</v>
      </c>
      <c r="K480" s="55">
        <f t="shared" si="264"/>
        <v>16514.399999999998</v>
      </c>
      <c r="L480" s="55">
        <f t="shared" si="264"/>
        <v>16507.05</v>
      </c>
      <c r="M480" s="55">
        <f t="shared" si="264"/>
        <v>0</v>
      </c>
      <c r="N480" s="55">
        <f t="shared" si="264"/>
        <v>0</v>
      </c>
      <c r="O480" s="55">
        <f t="shared" si="264"/>
        <v>0</v>
      </c>
      <c r="P480" s="55">
        <f t="shared" si="264"/>
        <v>0</v>
      </c>
      <c r="Q480" s="56">
        <f t="shared" si="264"/>
        <v>0</v>
      </c>
      <c r="R480" s="169">
        <f>SUM(R481:R481)</f>
        <v>0</v>
      </c>
      <c r="S480" s="89">
        <f t="shared" si="249"/>
        <v>0</v>
      </c>
      <c r="T480" s="216">
        <f t="shared" si="250"/>
        <v>0</v>
      </c>
      <c r="U480" s="144">
        <f t="shared" si="264"/>
        <v>0</v>
      </c>
      <c r="V480" s="145">
        <f t="shared" si="264"/>
        <v>0</v>
      </c>
      <c r="W480" s="145">
        <f t="shared" si="264"/>
        <v>0</v>
      </c>
      <c r="X480" s="145">
        <f t="shared" si="264"/>
        <v>0</v>
      </c>
      <c r="Y480" s="145">
        <f t="shared" si="264"/>
        <v>0</v>
      </c>
      <c r="Z480" s="145">
        <f t="shared" si="264"/>
        <v>0</v>
      </c>
      <c r="AA480" s="145">
        <f t="shared" si="264"/>
        <v>0</v>
      </c>
      <c r="AB480" s="145">
        <f t="shared" si="264"/>
        <v>0</v>
      </c>
      <c r="AC480" s="146">
        <f t="shared" si="264"/>
        <v>0</v>
      </c>
      <c r="AD480" s="33">
        <v>35280</v>
      </c>
      <c r="AE480" s="33">
        <v>35279.99</v>
      </c>
      <c r="AF480" s="127">
        <f>AE480*100/AD480</f>
        <v>99.999971655328793</v>
      </c>
    </row>
    <row r="481" spans="1:32" outlineLevel="1" x14ac:dyDescent="0.25">
      <c r="A481" s="4" t="s">
        <v>665</v>
      </c>
      <c r="B481" s="75" t="s">
        <v>495</v>
      </c>
      <c r="C481" s="25"/>
      <c r="D481" s="92">
        <v>1</v>
      </c>
      <c r="E481" s="93">
        <v>33021</v>
      </c>
      <c r="F481" s="93">
        <f>D481*E481</f>
        <v>33021</v>
      </c>
      <c r="G481" s="74">
        <f t="shared" si="261"/>
        <v>0.44999999999708962</v>
      </c>
      <c r="H481" s="95">
        <f t="shared" si="256"/>
        <v>33021.449999999997</v>
      </c>
      <c r="I481" s="112"/>
      <c r="J481" s="57"/>
      <c r="K481" s="57">
        <f>+(59185+50911)*0.15</f>
        <v>16514.399999999998</v>
      </c>
      <c r="L481" s="57">
        <f>+(26659+83388)*0.15</f>
        <v>16507.05</v>
      </c>
      <c r="M481" s="57"/>
      <c r="N481" s="57"/>
      <c r="O481" s="57"/>
      <c r="P481" s="68"/>
      <c r="Q481" s="58"/>
      <c r="R481" s="170">
        <f>P481*Q481</f>
        <v>0</v>
      </c>
      <c r="S481" s="89">
        <f t="shared" si="249"/>
        <v>0</v>
      </c>
      <c r="T481" s="216">
        <f t="shared" si="250"/>
        <v>0</v>
      </c>
      <c r="U481" s="147"/>
      <c r="V481" s="148"/>
      <c r="W481" s="148"/>
      <c r="X481" s="148"/>
      <c r="Y481" s="148"/>
      <c r="Z481" s="148"/>
      <c r="AA481" s="148"/>
      <c r="AB481" s="149"/>
      <c r="AC481" s="150"/>
      <c r="AD481" s="76"/>
      <c r="AE481" s="76"/>
      <c r="AF481" s="128"/>
    </row>
    <row r="482" spans="1:32" s="2" customFormat="1" ht="21" x14ac:dyDescent="0.35">
      <c r="A482" s="8" t="s">
        <v>456</v>
      </c>
      <c r="B482" s="12" t="s">
        <v>437</v>
      </c>
      <c r="C482" s="21"/>
      <c r="D482" s="22"/>
      <c r="E482" s="15"/>
      <c r="F482" s="84">
        <f>F483+F488+F492+F495+F500</f>
        <v>16625</v>
      </c>
      <c r="G482" s="89">
        <f t="shared" si="261"/>
        <v>0</v>
      </c>
      <c r="H482" s="16">
        <f t="shared" si="256"/>
        <v>16625</v>
      </c>
      <c r="I482" s="51">
        <f t="shared" ref="I482:Q482" si="265">I483+I488+I492+I495+I500</f>
        <v>2950</v>
      </c>
      <c r="J482" s="51">
        <f t="shared" si="265"/>
        <v>11675</v>
      </c>
      <c r="K482" s="51">
        <f t="shared" si="265"/>
        <v>0</v>
      </c>
      <c r="L482" s="51">
        <f t="shared" si="265"/>
        <v>0</v>
      </c>
      <c r="M482" s="51">
        <f t="shared" si="265"/>
        <v>0</v>
      </c>
      <c r="N482" s="51">
        <f t="shared" si="265"/>
        <v>1000</v>
      </c>
      <c r="O482" s="51">
        <f t="shared" si="265"/>
        <v>0</v>
      </c>
      <c r="P482" s="51">
        <f t="shared" si="265"/>
        <v>0</v>
      </c>
      <c r="Q482" s="59">
        <f t="shared" si="265"/>
        <v>1000</v>
      </c>
      <c r="R482" s="168">
        <f>R483+R488+R492+R495+R500</f>
        <v>950.73</v>
      </c>
      <c r="S482" s="89">
        <f t="shared" si="249"/>
        <v>-950.73</v>
      </c>
      <c r="T482" s="216">
        <f t="shared" si="250"/>
        <v>0</v>
      </c>
      <c r="U482" s="144">
        <f>U483+U488+U492+U495+U500</f>
        <v>0</v>
      </c>
      <c r="V482" s="144">
        <f t="shared" ref="V482:AC482" si="266">V483+V488+V492+V495+V500</f>
        <v>0</v>
      </c>
      <c r="W482" s="144">
        <f t="shared" si="266"/>
        <v>0</v>
      </c>
      <c r="X482" s="144">
        <f t="shared" si="266"/>
        <v>0</v>
      </c>
      <c r="Y482" s="144">
        <f t="shared" si="266"/>
        <v>0</v>
      </c>
      <c r="Z482" s="144">
        <f t="shared" si="266"/>
        <v>0</v>
      </c>
      <c r="AA482" s="144">
        <f t="shared" si="266"/>
        <v>0</v>
      </c>
      <c r="AB482" s="144">
        <f t="shared" si="266"/>
        <v>0</v>
      </c>
      <c r="AC482" s="151">
        <f t="shared" si="266"/>
        <v>0</v>
      </c>
      <c r="AD482" s="32">
        <f>+AD483+AD488+AD492+AD495+AD500</f>
        <v>10675</v>
      </c>
      <c r="AE482" s="32">
        <f>AE483+AE488+AE492+AE495+AE500</f>
        <v>14495.44</v>
      </c>
      <c r="AF482" s="126">
        <f>AE482*100/AD482</f>
        <v>135.78866510538643</v>
      </c>
    </row>
    <row r="483" spans="1:32" s="3" customFormat="1" ht="15.75" x14ac:dyDescent="0.25">
      <c r="A483" s="7" t="s">
        <v>458</v>
      </c>
      <c r="B483" s="13" t="s">
        <v>265</v>
      </c>
      <c r="C483" s="23"/>
      <c r="D483" s="24"/>
      <c r="E483" s="17"/>
      <c r="F483" s="82">
        <f>SUM(F484:F487)</f>
        <v>950</v>
      </c>
      <c r="G483" s="89">
        <f t="shared" si="261"/>
        <v>0</v>
      </c>
      <c r="H483" s="18">
        <f t="shared" si="256"/>
        <v>950</v>
      </c>
      <c r="I483" s="54">
        <f t="shared" ref="I483:Q483" si="267">SUM(I484:I487)</f>
        <v>750</v>
      </c>
      <c r="J483" s="55">
        <f t="shared" si="267"/>
        <v>200</v>
      </c>
      <c r="K483" s="55">
        <f t="shared" si="267"/>
        <v>0</v>
      </c>
      <c r="L483" s="55">
        <f t="shared" si="267"/>
        <v>0</v>
      </c>
      <c r="M483" s="55">
        <f>SUM(M484:M487)</f>
        <v>0</v>
      </c>
      <c r="N483" s="55">
        <f t="shared" si="267"/>
        <v>0</v>
      </c>
      <c r="O483" s="55">
        <f t="shared" si="267"/>
        <v>0</v>
      </c>
      <c r="P483" s="55">
        <f t="shared" si="267"/>
        <v>0</v>
      </c>
      <c r="Q483" s="56">
        <f t="shared" si="267"/>
        <v>0</v>
      </c>
      <c r="R483" s="169">
        <f>SUM(R484:R487)</f>
        <v>950.73</v>
      </c>
      <c r="S483" s="89">
        <f t="shared" si="249"/>
        <v>-950.73</v>
      </c>
      <c r="T483" s="216">
        <f t="shared" si="250"/>
        <v>0</v>
      </c>
      <c r="U483" s="144">
        <f t="shared" ref="U483:AC483" si="268">SUM(U484:U487)</f>
        <v>0</v>
      </c>
      <c r="V483" s="145">
        <f t="shared" si="268"/>
        <v>0</v>
      </c>
      <c r="W483" s="145">
        <f t="shared" si="268"/>
        <v>0</v>
      </c>
      <c r="X483" s="145">
        <f t="shared" si="268"/>
        <v>0</v>
      </c>
      <c r="Y483" s="145">
        <f t="shared" si="268"/>
        <v>0</v>
      </c>
      <c r="Z483" s="145">
        <f t="shared" si="268"/>
        <v>0</v>
      </c>
      <c r="AA483" s="145">
        <f t="shared" si="268"/>
        <v>0</v>
      </c>
      <c r="AB483" s="145">
        <f t="shared" si="268"/>
        <v>0</v>
      </c>
      <c r="AC483" s="146">
        <f t="shared" si="268"/>
        <v>0</v>
      </c>
      <c r="AD483" s="33">
        <v>600</v>
      </c>
      <c r="AE483" s="33">
        <f>2569.64-460-184.95-888.16</f>
        <v>1036.5299999999997</v>
      </c>
      <c r="AF483" s="127">
        <f>AE483*100/AD483</f>
        <v>172.75499999999994</v>
      </c>
    </row>
    <row r="484" spans="1:32" outlineLevel="1" x14ac:dyDescent="0.25">
      <c r="A484" s="5" t="s">
        <v>459</v>
      </c>
      <c r="B484" s="75" t="s">
        <v>281</v>
      </c>
      <c r="C484" s="25"/>
      <c r="D484" s="92">
        <v>1</v>
      </c>
      <c r="E484" s="110">
        <v>200</v>
      </c>
      <c r="F484" s="93">
        <f>D484*E484</f>
        <v>200</v>
      </c>
      <c r="G484" s="74">
        <f t="shared" si="261"/>
        <v>0</v>
      </c>
      <c r="H484" s="95">
        <f t="shared" si="256"/>
        <v>200</v>
      </c>
      <c r="I484" s="112">
        <v>200</v>
      </c>
      <c r="J484" s="57"/>
      <c r="K484" s="57"/>
      <c r="L484" s="57"/>
      <c r="M484" s="57"/>
      <c r="N484" s="57"/>
      <c r="O484" s="57"/>
      <c r="P484" s="68"/>
      <c r="Q484" s="58"/>
      <c r="R484" s="170">
        <f>P484*Q484</f>
        <v>0</v>
      </c>
      <c r="S484" s="89">
        <f t="shared" si="249"/>
        <v>0</v>
      </c>
      <c r="T484" s="216">
        <f t="shared" si="250"/>
        <v>0</v>
      </c>
      <c r="U484" s="147"/>
      <c r="V484" s="148"/>
      <c r="W484" s="148"/>
      <c r="X484" s="148"/>
      <c r="Y484" s="148"/>
      <c r="Z484" s="148"/>
      <c r="AA484" s="148"/>
      <c r="AB484" s="149"/>
      <c r="AC484" s="150"/>
      <c r="AD484" s="76"/>
      <c r="AE484" s="76"/>
      <c r="AF484" s="128"/>
    </row>
    <row r="485" spans="1:32" outlineLevel="1" x14ac:dyDescent="0.25">
      <c r="A485" s="4" t="s">
        <v>460</v>
      </c>
      <c r="B485" s="75" t="s">
        <v>309</v>
      </c>
      <c r="C485" s="25"/>
      <c r="D485" s="92">
        <v>4</v>
      </c>
      <c r="E485" s="110">
        <v>100</v>
      </c>
      <c r="F485" s="93">
        <f>D485*E485</f>
        <v>400</v>
      </c>
      <c r="G485" s="74">
        <f t="shared" si="261"/>
        <v>0</v>
      </c>
      <c r="H485" s="95">
        <f t="shared" si="256"/>
        <v>400</v>
      </c>
      <c r="I485" s="112">
        <v>400</v>
      </c>
      <c r="J485" s="57"/>
      <c r="K485" s="57"/>
      <c r="L485" s="57"/>
      <c r="M485" s="57"/>
      <c r="N485" s="57"/>
      <c r="O485" s="57"/>
      <c r="P485" s="68"/>
      <c r="Q485" s="58"/>
      <c r="R485" s="170">
        <v>628.44000000000005</v>
      </c>
      <c r="S485" s="89">
        <f t="shared" si="249"/>
        <v>-628.44000000000005</v>
      </c>
      <c r="T485" s="216">
        <f t="shared" si="250"/>
        <v>0</v>
      </c>
      <c r="U485" s="147"/>
      <c r="V485" s="148"/>
      <c r="W485" s="148"/>
      <c r="X485" s="148"/>
      <c r="Y485" s="148"/>
      <c r="Z485" s="148"/>
      <c r="AA485" s="148"/>
      <c r="AB485" s="149"/>
      <c r="AC485" s="150"/>
      <c r="AD485" s="76"/>
      <c r="AE485" s="76"/>
      <c r="AF485" s="128"/>
    </row>
    <row r="486" spans="1:32" outlineLevel="1" x14ac:dyDescent="0.25">
      <c r="A486" s="4" t="s">
        <v>461</v>
      </c>
      <c r="B486" s="75" t="s">
        <v>285</v>
      </c>
      <c r="C486" s="25"/>
      <c r="D486" s="92">
        <v>1</v>
      </c>
      <c r="E486" s="110">
        <v>150</v>
      </c>
      <c r="F486" s="93">
        <f>D486*E486</f>
        <v>150</v>
      </c>
      <c r="G486" s="74">
        <f t="shared" si="261"/>
        <v>0</v>
      </c>
      <c r="H486" s="95">
        <f t="shared" si="256"/>
        <v>150</v>
      </c>
      <c r="I486" s="112">
        <v>150</v>
      </c>
      <c r="J486" s="57"/>
      <c r="K486" s="57"/>
      <c r="L486" s="57"/>
      <c r="M486" s="57"/>
      <c r="N486" s="57"/>
      <c r="O486" s="57"/>
      <c r="P486" s="68"/>
      <c r="Q486" s="58"/>
      <c r="R486" s="170">
        <f>P486*Q486</f>
        <v>0</v>
      </c>
      <c r="S486" s="89">
        <f t="shared" si="249"/>
        <v>0</v>
      </c>
      <c r="T486" s="216">
        <f t="shared" si="250"/>
        <v>0</v>
      </c>
      <c r="U486" s="147"/>
      <c r="V486" s="148"/>
      <c r="W486" s="148"/>
      <c r="X486" s="148"/>
      <c r="Y486" s="148"/>
      <c r="Z486" s="148"/>
      <c r="AA486" s="148"/>
      <c r="AB486" s="149"/>
      <c r="AC486" s="150"/>
      <c r="AD486" s="76"/>
      <c r="AE486" s="76"/>
      <c r="AF486" s="128"/>
    </row>
    <row r="487" spans="1:32" outlineLevel="1" x14ac:dyDescent="0.25">
      <c r="A487" s="4" t="s">
        <v>462</v>
      </c>
      <c r="B487" s="75" t="s">
        <v>47</v>
      </c>
      <c r="C487" s="25"/>
      <c r="D487" s="92">
        <v>1</v>
      </c>
      <c r="E487" s="110">
        <v>200</v>
      </c>
      <c r="F487" s="93">
        <f>D487*E487</f>
        <v>200</v>
      </c>
      <c r="G487" s="74">
        <f t="shared" si="261"/>
        <v>0</v>
      </c>
      <c r="H487" s="95">
        <f t="shared" si="256"/>
        <v>200</v>
      </c>
      <c r="I487" s="112"/>
      <c r="J487" s="57">
        <v>200</v>
      </c>
      <c r="K487" s="57"/>
      <c r="L487" s="57"/>
      <c r="M487" s="57"/>
      <c r="N487" s="57"/>
      <c r="O487" s="57"/>
      <c r="P487" s="68"/>
      <c r="Q487" s="58"/>
      <c r="R487" s="170">
        <v>322.29000000000002</v>
      </c>
      <c r="S487" s="89">
        <f t="shared" si="249"/>
        <v>-322.29000000000002</v>
      </c>
      <c r="T487" s="216">
        <f t="shared" si="250"/>
        <v>0</v>
      </c>
      <c r="U487" s="147"/>
      <c r="V487" s="148"/>
      <c r="W487" s="148"/>
      <c r="X487" s="148"/>
      <c r="Y487" s="148"/>
      <c r="Z487" s="148"/>
      <c r="AA487" s="148"/>
      <c r="AB487" s="149"/>
      <c r="AC487" s="150"/>
      <c r="AD487" s="76"/>
      <c r="AE487" s="76"/>
      <c r="AF487" s="128"/>
    </row>
    <row r="488" spans="1:32" s="3" customFormat="1" ht="15.75" x14ac:dyDescent="0.25">
      <c r="A488" s="7" t="s">
        <v>463</v>
      </c>
      <c r="B488" s="13" t="s">
        <v>248</v>
      </c>
      <c r="C488" s="23"/>
      <c r="D488" s="24"/>
      <c r="E488" s="17"/>
      <c r="F488" s="82">
        <f>SUM(F489:F491)</f>
        <v>8550</v>
      </c>
      <c r="G488" s="89">
        <f t="shared" si="261"/>
        <v>0</v>
      </c>
      <c r="H488" s="18">
        <f t="shared" si="256"/>
        <v>8550</v>
      </c>
      <c r="I488" s="54">
        <f t="shared" ref="I488:Q488" si="269">SUM(I489:I491)</f>
        <v>0</v>
      </c>
      <c r="J488" s="55">
        <f t="shared" si="269"/>
        <v>8550</v>
      </c>
      <c r="K488" s="55">
        <f t="shared" si="269"/>
        <v>0</v>
      </c>
      <c r="L488" s="55">
        <f t="shared" si="269"/>
        <v>0</v>
      </c>
      <c r="M488" s="55">
        <f t="shared" si="269"/>
        <v>0</v>
      </c>
      <c r="N488" s="55">
        <f t="shared" si="269"/>
        <v>0</v>
      </c>
      <c r="O488" s="55">
        <f t="shared" si="269"/>
        <v>0</v>
      </c>
      <c r="P488" s="55">
        <f t="shared" si="269"/>
        <v>0</v>
      </c>
      <c r="Q488" s="56">
        <f t="shared" si="269"/>
        <v>0</v>
      </c>
      <c r="R488" s="169">
        <f>SUM(R489:R491)</f>
        <v>0</v>
      </c>
      <c r="S488" s="89">
        <f t="shared" si="249"/>
        <v>0</v>
      </c>
      <c r="T488" s="216">
        <f t="shared" si="250"/>
        <v>0</v>
      </c>
      <c r="U488" s="144">
        <f>SUM(U489:U491)</f>
        <v>0</v>
      </c>
      <c r="V488" s="145">
        <f t="shared" ref="V488:AC488" si="270">SUM(V489:V491)</f>
        <v>0</v>
      </c>
      <c r="W488" s="145">
        <f t="shared" si="270"/>
        <v>0</v>
      </c>
      <c r="X488" s="145">
        <f t="shared" si="270"/>
        <v>0</v>
      </c>
      <c r="Y488" s="145">
        <f t="shared" si="270"/>
        <v>0</v>
      </c>
      <c r="Z488" s="145">
        <f t="shared" si="270"/>
        <v>0</v>
      </c>
      <c r="AA488" s="145">
        <f t="shared" si="270"/>
        <v>0</v>
      </c>
      <c r="AB488" s="145">
        <f t="shared" si="270"/>
        <v>0</v>
      </c>
      <c r="AC488" s="146">
        <f t="shared" si="270"/>
        <v>0</v>
      </c>
      <c r="AD488" s="33">
        <v>8000</v>
      </c>
      <c r="AE488" s="33">
        <f>4789+4462.7</f>
        <v>9251.7000000000007</v>
      </c>
      <c r="AF488" s="127">
        <f>AE488*100/AD488</f>
        <v>115.64625000000001</v>
      </c>
    </row>
    <row r="489" spans="1:32" outlineLevel="1" x14ac:dyDescent="0.25">
      <c r="A489" s="4" t="s">
        <v>464</v>
      </c>
      <c r="B489" s="75" t="s">
        <v>955</v>
      </c>
      <c r="C489" s="25"/>
      <c r="D489" s="92">
        <v>1</v>
      </c>
      <c r="E489" s="110">
        <v>5850</v>
      </c>
      <c r="F489" s="93">
        <f>D489*E489</f>
        <v>5850</v>
      </c>
      <c r="G489" s="74">
        <f t="shared" si="261"/>
        <v>0</v>
      </c>
      <c r="H489" s="95">
        <f t="shared" si="256"/>
        <v>5850</v>
      </c>
      <c r="I489" s="112"/>
      <c r="J489" s="57">
        <v>5850</v>
      </c>
      <c r="K489" s="57"/>
      <c r="L489" s="57"/>
      <c r="M489" s="57"/>
      <c r="N489" s="57"/>
      <c r="O489" s="57"/>
      <c r="P489" s="68"/>
      <c r="Q489" s="58"/>
      <c r="R489" s="170">
        <f>P489*Q489</f>
        <v>0</v>
      </c>
      <c r="S489" s="89">
        <f t="shared" si="249"/>
        <v>0</v>
      </c>
      <c r="T489" s="216">
        <f t="shared" si="250"/>
        <v>0</v>
      </c>
      <c r="U489" s="147"/>
      <c r="V489" s="148"/>
      <c r="W489" s="148"/>
      <c r="X489" s="148"/>
      <c r="Y489" s="148"/>
      <c r="Z489" s="148"/>
      <c r="AA489" s="148"/>
      <c r="AB489" s="149"/>
      <c r="AC489" s="150"/>
      <c r="AD489" s="76"/>
      <c r="AE489" s="76"/>
      <c r="AF489" s="128"/>
    </row>
    <row r="490" spans="1:32" outlineLevel="1" x14ac:dyDescent="0.25">
      <c r="A490" s="4" t="s">
        <v>465</v>
      </c>
      <c r="B490" s="75" t="s">
        <v>956</v>
      </c>
      <c r="C490" s="25"/>
      <c r="D490" s="92">
        <v>1</v>
      </c>
      <c r="E490" s="110">
        <v>2700</v>
      </c>
      <c r="F490" s="93">
        <f>D490*E490</f>
        <v>2700</v>
      </c>
      <c r="G490" s="74">
        <f t="shared" si="261"/>
        <v>0</v>
      </c>
      <c r="H490" s="95">
        <f t="shared" si="256"/>
        <v>2700</v>
      </c>
      <c r="I490" s="112"/>
      <c r="J490" s="57">
        <v>2700</v>
      </c>
      <c r="K490" s="57"/>
      <c r="L490" s="57"/>
      <c r="M490" s="57"/>
      <c r="N490" s="57"/>
      <c r="O490" s="57"/>
      <c r="P490" s="68"/>
      <c r="Q490" s="58"/>
      <c r="R490" s="170">
        <f>P490*Q490</f>
        <v>0</v>
      </c>
      <c r="S490" s="89">
        <f t="shared" si="249"/>
        <v>0</v>
      </c>
      <c r="T490" s="216">
        <f t="shared" si="250"/>
        <v>0</v>
      </c>
      <c r="U490" s="147"/>
      <c r="V490" s="148"/>
      <c r="W490" s="148"/>
      <c r="X490" s="148"/>
      <c r="Y490" s="148"/>
      <c r="Z490" s="148"/>
      <c r="AA490" s="148"/>
      <c r="AB490" s="149"/>
      <c r="AC490" s="150"/>
      <c r="AD490" s="76"/>
      <c r="AE490" s="76"/>
      <c r="AF490" s="128"/>
    </row>
    <row r="491" spans="1:32" outlineLevel="1" x14ac:dyDescent="0.25">
      <c r="A491" s="4" t="s">
        <v>466</v>
      </c>
      <c r="B491" s="75" t="s">
        <v>47</v>
      </c>
      <c r="C491" s="25"/>
      <c r="D491" s="92"/>
      <c r="E491" s="110"/>
      <c r="F491" s="93">
        <f>D491*E491</f>
        <v>0</v>
      </c>
      <c r="G491" s="74">
        <f t="shared" si="261"/>
        <v>0</v>
      </c>
      <c r="H491" s="95">
        <f t="shared" si="256"/>
        <v>0</v>
      </c>
      <c r="I491" s="112"/>
      <c r="J491" s="57"/>
      <c r="K491" s="57"/>
      <c r="L491" s="57"/>
      <c r="M491" s="57"/>
      <c r="N491" s="57"/>
      <c r="O491" s="57"/>
      <c r="P491" s="68"/>
      <c r="Q491" s="58"/>
      <c r="R491" s="170">
        <f>P491*Q491</f>
        <v>0</v>
      </c>
      <c r="S491" s="89">
        <f t="shared" si="249"/>
        <v>0</v>
      </c>
      <c r="T491" s="216">
        <f t="shared" si="250"/>
        <v>0</v>
      </c>
      <c r="U491" s="147"/>
      <c r="V491" s="148"/>
      <c r="W491" s="148"/>
      <c r="X491" s="148"/>
      <c r="Y491" s="148"/>
      <c r="Z491" s="148"/>
      <c r="AA491" s="148"/>
      <c r="AB491" s="149"/>
      <c r="AC491" s="150"/>
      <c r="AD491" s="76"/>
      <c r="AE491" s="76"/>
      <c r="AF491" s="128"/>
    </row>
    <row r="492" spans="1:32" s="3" customFormat="1" ht="15.75" x14ac:dyDescent="0.25">
      <c r="A492" s="7" t="s">
        <v>467</v>
      </c>
      <c r="B492" s="13" t="s">
        <v>814</v>
      </c>
      <c r="C492" s="23"/>
      <c r="D492" s="24"/>
      <c r="E492" s="17"/>
      <c r="F492" s="82">
        <f>SUM(F493:F494)</f>
        <v>475</v>
      </c>
      <c r="G492" s="89">
        <f t="shared" si="261"/>
        <v>0</v>
      </c>
      <c r="H492" s="18">
        <f t="shared" si="256"/>
        <v>475</v>
      </c>
      <c r="I492" s="54">
        <f t="shared" ref="I492:Q492" si="271">SUM(I493:I494)</f>
        <v>0</v>
      </c>
      <c r="J492" s="55">
        <f t="shared" si="271"/>
        <v>475</v>
      </c>
      <c r="K492" s="55">
        <f t="shared" si="271"/>
        <v>0</v>
      </c>
      <c r="L492" s="55">
        <f t="shared" si="271"/>
        <v>0</v>
      </c>
      <c r="M492" s="55">
        <f t="shared" si="271"/>
        <v>0</v>
      </c>
      <c r="N492" s="55">
        <f t="shared" si="271"/>
        <v>0</v>
      </c>
      <c r="O492" s="55">
        <f t="shared" si="271"/>
        <v>0</v>
      </c>
      <c r="P492" s="55">
        <f t="shared" si="271"/>
        <v>0</v>
      </c>
      <c r="Q492" s="56">
        <f t="shared" si="271"/>
        <v>0</v>
      </c>
      <c r="R492" s="169">
        <f>SUM(R493:R494)</f>
        <v>0</v>
      </c>
      <c r="S492" s="89">
        <f t="shared" si="249"/>
        <v>0</v>
      </c>
      <c r="T492" s="216">
        <f t="shared" si="250"/>
        <v>0</v>
      </c>
      <c r="U492" s="144">
        <f>SUM(U493:U494)</f>
        <v>0</v>
      </c>
      <c r="V492" s="145">
        <f t="shared" ref="V492:AC492" si="272">SUM(V493:V494)</f>
        <v>0</v>
      </c>
      <c r="W492" s="145">
        <f t="shared" si="272"/>
        <v>0</v>
      </c>
      <c r="X492" s="145">
        <f t="shared" si="272"/>
        <v>0</v>
      </c>
      <c r="Y492" s="145">
        <f t="shared" si="272"/>
        <v>0</v>
      </c>
      <c r="Z492" s="145">
        <f t="shared" si="272"/>
        <v>0</v>
      </c>
      <c r="AA492" s="145">
        <f t="shared" si="272"/>
        <v>0</v>
      </c>
      <c r="AB492" s="145">
        <f t="shared" si="272"/>
        <v>0</v>
      </c>
      <c r="AC492" s="146">
        <f t="shared" si="272"/>
        <v>0</v>
      </c>
      <c r="AD492" s="33">
        <v>675</v>
      </c>
      <c r="AE492" s="33">
        <f>659.62</f>
        <v>659.62</v>
      </c>
      <c r="AF492" s="127">
        <f>AE492*100/AD492</f>
        <v>97.721481481481476</v>
      </c>
    </row>
    <row r="493" spans="1:32" outlineLevel="1" x14ac:dyDescent="0.25">
      <c r="A493" s="4" t="s">
        <v>468</v>
      </c>
      <c r="B493" s="75" t="s">
        <v>666</v>
      </c>
      <c r="C493" s="25"/>
      <c r="D493" s="92">
        <v>1</v>
      </c>
      <c r="E493" s="110">
        <v>475</v>
      </c>
      <c r="F493" s="93">
        <f>D493*E493</f>
        <v>475</v>
      </c>
      <c r="G493" s="74">
        <f t="shared" si="261"/>
        <v>0</v>
      </c>
      <c r="H493" s="95">
        <f t="shared" si="256"/>
        <v>475</v>
      </c>
      <c r="I493" s="112"/>
      <c r="J493" s="57">
        <v>475</v>
      </c>
      <c r="K493" s="57"/>
      <c r="L493" s="57"/>
      <c r="M493" s="57"/>
      <c r="N493" s="57"/>
      <c r="O493" s="57"/>
      <c r="P493" s="68"/>
      <c r="Q493" s="58"/>
      <c r="R493" s="170">
        <f>P493*Q493</f>
        <v>0</v>
      </c>
      <c r="S493" s="89">
        <f t="shared" si="249"/>
        <v>0</v>
      </c>
      <c r="T493" s="216">
        <f t="shared" si="250"/>
        <v>0</v>
      </c>
      <c r="U493" s="147"/>
      <c r="V493" s="148"/>
      <c r="W493" s="148"/>
      <c r="X493" s="148"/>
      <c r="Y493" s="148"/>
      <c r="Z493" s="148"/>
      <c r="AA493" s="148"/>
      <c r="AB493" s="149"/>
      <c r="AC493" s="150"/>
      <c r="AD493" s="76"/>
      <c r="AE493" s="76"/>
      <c r="AF493" s="128"/>
    </row>
    <row r="494" spans="1:32" outlineLevel="1" x14ac:dyDescent="0.25">
      <c r="A494" s="6" t="s">
        <v>469</v>
      </c>
      <c r="B494" s="75" t="s">
        <v>47</v>
      </c>
      <c r="C494" s="25"/>
      <c r="D494" s="92"/>
      <c r="E494" s="110"/>
      <c r="F494" s="93">
        <f>D494*E494</f>
        <v>0</v>
      </c>
      <c r="G494" s="74">
        <f t="shared" si="261"/>
        <v>0</v>
      </c>
      <c r="H494" s="95">
        <f t="shared" si="256"/>
        <v>0</v>
      </c>
      <c r="I494" s="112"/>
      <c r="J494" s="57"/>
      <c r="K494" s="57"/>
      <c r="L494" s="57"/>
      <c r="M494" s="57"/>
      <c r="N494" s="57"/>
      <c r="O494" s="57"/>
      <c r="P494" s="68"/>
      <c r="Q494" s="58"/>
      <c r="R494" s="170">
        <f>P494*Q494</f>
        <v>0</v>
      </c>
      <c r="S494" s="89">
        <f t="shared" si="249"/>
        <v>0</v>
      </c>
      <c r="T494" s="216">
        <f t="shared" si="250"/>
        <v>0</v>
      </c>
      <c r="U494" s="147"/>
      <c r="V494" s="148"/>
      <c r="W494" s="148"/>
      <c r="X494" s="148"/>
      <c r="Y494" s="148"/>
      <c r="Z494" s="148"/>
      <c r="AA494" s="148"/>
      <c r="AB494" s="149"/>
      <c r="AC494" s="150"/>
      <c r="AD494" s="76"/>
      <c r="AE494" s="76"/>
      <c r="AF494" s="128"/>
    </row>
    <row r="495" spans="1:32" s="3" customFormat="1" ht="15.75" x14ac:dyDescent="0.25">
      <c r="A495" s="7" t="s">
        <v>470</v>
      </c>
      <c r="B495" s="13" t="s">
        <v>250</v>
      </c>
      <c r="C495" s="23"/>
      <c r="D495" s="24"/>
      <c r="E495" s="17"/>
      <c r="F495" s="82">
        <f>SUM(F496:F499)</f>
        <v>5700</v>
      </c>
      <c r="G495" s="89">
        <f t="shared" si="261"/>
        <v>0</v>
      </c>
      <c r="H495" s="18">
        <f t="shared" si="256"/>
        <v>5700</v>
      </c>
      <c r="I495" s="54">
        <f t="shared" ref="I495:Q495" si="273">SUM(I496:I499)</f>
        <v>2200</v>
      </c>
      <c r="J495" s="55">
        <f t="shared" si="273"/>
        <v>1500</v>
      </c>
      <c r="K495" s="55">
        <f t="shared" si="273"/>
        <v>0</v>
      </c>
      <c r="L495" s="55">
        <f t="shared" si="273"/>
        <v>0</v>
      </c>
      <c r="M495" s="55">
        <f t="shared" si="273"/>
        <v>0</v>
      </c>
      <c r="N495" s="55">
        <f t="shared" si="273"/>
        <v>1000</v>
      </c>
      <c r="O495" s="55">
        <f t="shared" si="273"/>
        <v>0</v>
      </c>
      <c r="P495" s="55">
        <f t="shared" si="273"/>
        <v>0</v>
      </c>
      <c r="Q495" s="56">
        <f t="shared" si="273"/>
        <v>1000</v>
      </c>
      <c r="R495" s="169">
        <f>SUM(R496:R499)</f>
        <v>0</v>
      </c>
      <c r="S495" s="89">
        <f t="shared" si="249"/>
        <v>0</v>
      </c>
      <c r="T495" s="216">
        <f t="shared" si="250"/>
        <v>0</v>
      </c>
      <c r="U495" s="144">
        <f>SUM(U496:U499)</f>
        <v>0</v>
      </c>
      <c r="V495" s="145">
        <f t="shared" ref="V495:AC495" si="274">SUM(V496:V499)</f>
        <v>0</v>
      </c>
      <c r="W495" s="145">
        <f t="shared" si="274"/>
        <v>0</v>
      </c>
      <c r="X495" s="145">
        <f t="shared" si="274"/>
        <v>0</v>
      </c>
      <c r="Y495" s="145">
        <f t="shared" si="274"/>
        <v>0</v>
      </c>
      <c r="Z495" s="145">
        <f t="shared" si="274"/>
        <v>0</v>
      </c>
      <c r="AA495" s="145">
        <f t="shared" si="274"/>
        <v>0</v>
      </c>
      <c r="AB495" s="145">
        <f t="shared" si="274"/>
        <v>0</v>
      </c>
      <c r="AC495" s="146">
        <f t="shared" si="274"/>
        <v>0</v>
      </c>
      <c r="AD495" s="33">
        <v>1400</v>
      </c>
      <c r="AE495" s="33">
        <f>2014.48+184.95+888.16+460</f>
        <v>3547.5899999999997</v>
      </c>
      <c r="AF495" s="127">
        <f>AE495*100/AD495</f>
        <v>253.39928571428567</v>
      </c>
    </row>
    <row r="496" spans="1:32" outlineLevel="1" x14ac:dyDescent="0.25">
      <c r="A496" s="4" t="s">
        <v>471</v>
      </c>
      <c r="B496" s="75" t="s">
        <v>937</v>
      </c>
      <c r="C496" s="25"/>
      <c r="D496" s="92">
        <v>1</v>
      </c>
      <c r="E496" s="110">
        <v>1000</v>
      </c>
      <c r="F496" s="93">
        <f>D496*E496</f>
        <v>1000</v>
      </c>
      <c r="G496" s="74">
        <f t="shared" si="261"/>
        <v>0</v>
      </c>
      <c r="H496" s="95">
        <f t="shared" si="256"/>
        <v>1000</v>
      </c>
      <c r="I496" s="112"/>
      <c r="J496" s="57">
        <v>1000</v>
      </c>
      <c r="K496" s="57"/>
      <c r="L496" s="57"/>
      <c r="M496" s="57"/>
      <c r="N496" s="57"/>
      <c r="O496" s="57"/>
      <c r="P496" s="68"/>
      <c r="Q496" s="58"/>
      <c r="R496" s="170">
        <f>P496*Q496</f>
        <v>0</v>
      </c>
      <c r="S496" s="89">
        <f t="shared" si="249"/>
        <v>0</v>
      </c>
      <c r="T496" s="216">
        <f t="shared" si="250"/>
        <v>0</v>
      </c>
      <c r="U496" s="147"/>
      <c r="V496" s="148"/>
      <c r="W496" s="148"/>
      <c r="X496" s="148"/>
      <c r="Y496" s="148"/>
      <c r="Z496" s="148"/>
      <c r="AA496" s="148"/>
      <c r="AB496" s="149"/>
      <c r="AC496" s="150"/>
      <c r="AD496" s="76"/>
      <c r="AE496" s="76"/>
      <c r="AF496" s="128"/>
    </row>
    <row r="497" spans="1:32" outlineLevel="1" x14ac:dyDescent="0.25">
      <c r="A497" s="6" t="s">
        <v>472</v>
      </c>
      <c r="B497" s="75" t="s">
        <v>837</v>
      </c>
      <c r="C497" s="25"/>
      <c r="D497" s="92">
        <v>1</v>
      </c>
      <c r="E497" s="110">
        <v>200</v>
      </c>
      <c r="F497" s="93">
        <f>D497*E497</f>
        <v>200</v>
      </c>
      <c r="G497" s="74">
        <f t="shared" si="261"/>
        <v>0</v>
      </c>
      <c r="H497" s="95">
        <f t="shared" si="256"/>
        <v>200</v>
      </c>
      <c r="I497" s="112">
        <v>200</v>
      </c>
      <c r="J497" s="57"/>
      <c r="K497" s="57"/>
      <c r="L497" s="57"/>
      <c r="M497" s="57"/>
      <c r="N497" s="57"/>
      <c r="O497" s="57"/>
      <c r="P497" s="68"/>
      <c r="Q497" s="58"/>
      <c r="R497" s="170">
        <f>P497*Q497</f>
        <v>0</v>
      </c>
      <c r="S497" s="89">
        <f t="shared" si="249"/>
        <v>0</v>
      </c>
      <c r="T497" s="216">
        <f t="shared" si="250"/>
        <v>0</v>
      </c>
      <c r="U497" s="147"/>
      <c r="V497" s="148"/>
      <c r="W497" s="148"/>
      <c r="X497" s="148"/>
      <c r="Y497" s="148"/>
      <c r="Z497" s="148"/>
      <c r="AA497" s="148"/>
      <c r="AB497" s="149"/>
      <c r="AC497" s="150"/>
      <c r="AD497" s="76"/>
      <c r="AE497" s="76"/>
      <c r="AF497" s="128"/>
    </row>
    <row r="498" spans="1:32" outlineLevel="1" x14ac:dyDescent="0.25">
      <c r="A498" s="6" t="s">
        <v>473</v>
      </c>
      <c r="B498" s="75" t="s">
        <v>993</v>
      </c>
      <c r="C498" s="25"/>
      <c r="D498" s="92">
        <v>1</v>
      </c>
      <c r="E498" s="110">
        <v>4000</v>
      </c>
      <c r="F498" s="93">
        <f>D498*E498</f>
        <v>4000</v>
      </c>
      <c r="G498" s="74"/>
      <c r="H498" s="95">
        <f t="shared" si="256"/>
        <v>4000</v>
      </c>
      <c r="I498" s="112">
        <v>2000</v>
      </c>
      <c r="J498" s="57"/>
      <c r="K498" s="57"/>
      <c r="L498" s="57"/>
      <c r="M498" s="57"/>
      <c r="N498" s="57">
        <v>1000</v>
      </c>
      <c r="O498" s="57"/>
      <c r="P498" s="68"/>
      <c r="Q498" s="58">
        <v>1000</v>
      </c>
      <c r="R498" s="170">
        <f>P498*Q498</f>
        <v>0</v>
      </c>
      <c r="S498" s="89">
        <f t="shared" si="249"/>
        <v>0</v>
      </c>
      <c r="T498" s="216">
        <f t="shared" si="250"/>
        <v>0</v>
      </c>
      <c r="U498" s="147"/>
      <c r="V498" s="148"/>
      <c r="W498" s="148"/>
      <c r="X498" s="148"/>
      <c r="Y498" s="148"/>
      <c r="Z498" s="148"/>
      <c r="AA498" s="148"/>
      <c r="AB498" s="149"/>
      <c r="AC498" s="150"/>
      <c r="AD498" s="76"/>
      <c r="AE498" s="76"/>
      <c r="AF498" s="128"/>
    </row>
    <row r="499" spans="1:32" outlineLevel="1" x14ac:dyDescent="0.25">
      <c r="A499" s="4" t="s">
        <v>474</v>
      </c>
      <c r="B499" s="75" t="s">
        <v>47</v>
      </c>
      <c r="C499" s="25"/>
      <c r="D499" s="92">
        <v>1</v>
      </c>
      <c r="E499" s="110">
        <v>500</v>
      </c>
      <c r="F499" s="93">
        <f>D499*E499</f>
        <v>500</v>
      </c>
      <c r="G499" s="74">
        <f t="shared" si="261"/>
        <v>0</v>
      </c>
      <c r="H499" s="95">
        <f t="shared" si="256"/>
        <v>500</v>
      </c>
      <c r="I499" s="112"/>
      <c r="J499" s="57">
        <v>500</v>
      </c>
      <c r="K499" s="57"/>
      <c r="L499" s="57"/>
      <c r="M499" s="57"/>
      <c r="N499" s="57"/>
      <c r="O499" s="57"/>
      <c r="P499" s="68"/>
      <c r="Q499" s="58"/>
      <c r="R499" s="170">
        <f>P499*Q499</f>
        <v>0</v>
      </c>
      <c r="S499" s="89">
        <f t="shared" si="249"/>
        <v>0</v>
      </c>
      <c r="T499" s="216">
        <f t="shared" si="250"/>
        <v>0</v>
      </c>
      <c r="U499" s="147"/>
      <c r="V499" s="148"/>
      <c r="W499" s="148"/>
      <c r="X499" s="148"/>
      <c r="Y499" s="148"/>
      <c r="Z499" s="148"/>
      <c r="AA499" s="148"/>
      <c r="AB499" s="149"/>
      <c r="AC499" s="150"/>
      <c r="AD499" s="76"/>
      <c r="AE499" s="76"/>
      <c r="AF499" s="128"/>
    </row>
    <row r="500" spans="1:32" s="3" customFormat="1" ht="15.75" x14ac:dyDescent="0.25">
      <c r="A500" s="7" t="s">
        <v>475</v>
      </c>
      <c r="B500" s="13" t="s">
        <v>495</v>
      </c>
      <c r="C500" s="23"/>
      <c r="D500" s="24"/>
      <c r="E500" s="17"/>
      <c r="F500" s="82">
        <f>SUM(F501:F501)</f>
        <v>950</v>
      </c>
      <c r="G500" s="89">
        <f t="shared" si="261"/>
        <v>0</v>
      </c>
      <c r="H500" s="18">
        <f t="shared" si="256"/>
        <v>950</v>
      </c>
      <c r="I500" s="54">
        <f t="shared" ref="I500:AC500" si="275">SUM(I501:I501)</f>
        <v>0</v>
      </c>
      <c r="J500" s="55">
        <f t="shared" si="275"/>
        <v>950</v>
      </c>
      <c r="K500" s="55">
        <f t="shared" si="275"/>
        <v>0</v>
      </c>
      <c r="L500" s="55">
        <f t="shared" si="275"/>
        <v>0</v>
      </c>
      <c r="M500" s="55">
        <f t="shared" si="275"/>
        <v>0</v>
      </c>
      <c r="N500" s="55">
        <f t="shared" si="275"/>
        <v>0</v>
      </c>
      <c r="O500" s="55">
        <f t="shared" si="275"/>
        <v>0</v>
      </c>
      <c r="P500" s="55">
        <f t="shared" si="275"/>
        <v>0</v>
      </c>
      <c r="Q500" s="56">
        <f t="shared" si="275"/>
        <v>0</v>
      </c>
      <c r="R500" s="169">
        <f>SUM(R501:R501)</f>
        <v>0</v>
      </c>
      <c r="S500" s="89">
        <f t="shared" si="249"/>
        <v>0</v>
      </c>
      <c r="T500" s="216">
        <f t="shared" si="250"/>
        <v>0</v>
      </c>
      <c r="U500" s="144">
        <f t="shared" si="275"/>
        <v>0</v>
      </c>
      <c r="V500" s="145">
        <f t="shared" si="275"/>
        <v>0</v>
      </c>
      <c r="W500" s="145">
        <f t="shared" si="275"/>
        <v>0</v>
      </c>
      <c r="X500" s="145">
        <f t="shared" si="275"/>
        <v>0</v>
      </c>
      <c r="Y500" s="145">
        <f t="shared" si="275"/>
        <v>0</v>
      </c>
      <c r="Z500" s="145">
        <f t="shared" si="275"/>
        <v>0</v>
      </c>
      <c r="AA500" s="145">
        <f t="shared" si="275"/>
        <v>0</v>
      </c>
      <c r="AB500" s="145">
        <f t="shared" si="275"/>
        <v>0</v>
      </c>
      <c r="AC500" s="146">
        <f t="shared" si="275"/>
        <v>0</v>
      </c>
      <c r="AD500" s="33">
        <v>0</v>
      </c>
      <c r="AE500" s="33">
        <f>SUM(AE501:AE501)</f>
        <v>0</v>
      </c>
      <c r="AF500" s="127"/>
    </row>
    <row r="501" spans="1:32" outlineLevel="1" x14ac:dyDescent="0.25">
      <c r="A501" s="4" t="s">
        <v>494</v>
      </c>
      <c r="B501" s="75" t="s">
        <v>495</v>
      </c>
      <c r="C501" s="25"/>
      <c r="D501" s="92">
        <v>1</v>
      </c>
      <c r="E501" s="110">
        <v>950</v>
      </c>
      <c r="F501" s="93">
        <f>D501*E501</f>
        <v>950</v>
      </c>
      <c r="G501" s="74">
        <f t="shared" si="261"/>
        <v>0</v>
      </c>
      <c r="H501" s="95">
        <f t="shared" si="256"/>
        <v>950</v>
      </c>
      <c r="I501" s="112"/>
      <c r="J501" s="57">
        <v>950</v>
      </c>
      <c r="K501" s="57"/>
      <c r="L501" s="57"/>
      <c r="M501" s="57"/>
      <c r="N501" s="57"/>
      <c r="O501" s="57"/>
      <c r="P501" s="68"/>
      <c r="Q501" s="58"/>
      <c r="R501" s="170">
        <f>P501*Q501</f>
        <v>0</v>
      </c>
      <c r="S501" s="89">
        <f t="shared" si="249"/>
        <v>0</v>
      </c>
      <c r="T501" s="216">
        <f t="shared" si="250"/>
        <v>0</v>
      </c>
      <c r="U501" s="147"/>
      <c r="V501" s="148"/>
      <c r="W501" s="148"/>
      <c r="X501" s="148"/>
      <c r="Y501" s="148"/>
      <c r="Z501" s="148"/>
      <c r="AA501" s="148"/>
      <c r="AB501" s="149"/>
      <c r="AC501" s="150"/>
      <c r="AD501" s="76"/>
      <c r="AE501" s="76"/>
      <c r="AF501" s="128"/>
    </row>
    <row r="502" spans="1:32" s="2" customFormat="1" ht="21" x14ac:dyDescent="0.35">
      <c r="A502" s="8" t="s">
        <v>476</v>
      </c>
      <c r="B502" s="12" t="s">
        <v>457</v>
      </c>
      <c r="C502" s="21"/>
      <c r="D502" s="22"/>
      <c r="E502" s="15"/>
      <c r="F502" s="84">
        <f>F503+F508+F512+F514+F517</f>
        <v>8500</v>
      </c>
      <c r="G502" s="89">
        <f t="shared" si="261"/>
        <v>0</v>
      </c>
      <c r="H502" s="16">
        <f t="shared" si="256"/>
        <v>8500</v>
      </c>
      <c r="I502" s="51">
        <f t="shared" ref="I502:Q502" si="276">I503+I508+I512+I514+I517</f>
        <v>2500</v>
      </c>
      <c r="J502" s="51">
        <f t="shared" si="276"/>
        <v>6000</v>
      </c>
      <c r="K502" s="51">
        <f t="shared" si="276"/>
        <v>0</v>
      </c>
      <c r="L502" s="51">
        <f t="shared" si="276"/>
        <v>0</v>
      </c>
      <c r="M502" s="51">
        <f t="shared" si="276"/>
        <v>0</v>
      </c>
      <c r="N502" s="51">
        <f t="shared" si="276"/>
        <v>0</v>
      </c>
      <c r="O502" s="51">
        <f t="shared" si="276"/>
        <v>0</v>
      </c>
      <c r="P502" s="51">
        <f t="shared" si="276"/>
        <v>0</v>
      </c>
      <c r="Q502" s="59">
        <f t="shared" si="276"/>
        <v>0</v>
      </c>
      <c r="R502" s="168">
        <f>R503+R508+R512+R514+R517</f>
        <v>1117.3699999999999</v>
      </c>
      <c r="S502" s="89">
        <f t="shared" si="249"/>
        <v>-497.36999999999989</v>
      </c>
      <c r="T502" s="216">
        <f t="shared" si="250"/>
        <v>620</v>
      </c>
      <c r="U502" s="144">
        <f>U503+U508+U512+U514+U517</f>
        <v>0</v>
      </c>
      <c r="V502" s="144">
        <v>620</v>
      </c>
      <c r="W502" s="144">
        <f t="shared" ref="W502:AC502" si="277">W503+W508+W512+W514+W517</f>
        <v>0</v>
      </c>
      <c r="X502" s="144">
        <f t="shared" si="277"/>
        <v>0</v>
      </c>
      <c r="Y502" s="144">
        <f t="shared" si="277"/>
        <v>0</v>
      </c>
      <c r="Z502" s="144">
        <f t="shared" si="277"/>
        <v>0</v>
      </c>
      <c r="AA502" s="144">
        <f t="shared" si="277"/>
        <v>0</v>
      </c>
      <c r="AB502" s="144">
        <f t="shared" si="277"/>
        <v>0</v>
      </c>
      <c r="AC502" s="151">
        <f t="shared" si="277"/>
        <v>0</v>
      </c>
      <c r="AD502" s="32">
        <f>+AD503+AD508+AD512+AD514+AD517</f>
        <v>6874</v>
      </c>
      <c r="AE502" s="32">
        <f>AE503+AE508+AE512+AE514+AE517</f>
        <v>7551.3700000000008</v>
      </c>
      <c r="AF502" s="126">
        <f>AE502*100/AD502</f>
        <v>109.85408786732617</v>
      </c>
    </row>
    <row r="503" spans="1:32" s="3" customFormat="1" ht="15.75" x14ac:dyDescent="0.25">
      <c r="A503" s="7" t="s">
        <v>478</v>
      </c>
      <c r="B503" s="13" t="s">
        <v>265</v>
      </c>
      <c r="C503" s="23"/>
      <c r="D503" s="24"/>
      <c r="E503" s="17"/>
      <c r="F503" s="82">
        <f>SUM(F504:F507)</f>
        <v>750</v>
      </c>
      <c r="G503" s="89">
        <f t="shared" si="261"/>
        <v>0</v>
      </c>
      <c r="H503" s="18">
        <f t="shared" si="256"/>
        <v>750</v>
      </c>
      <c r="I503" s="54">
        <f t="shared" ref="I503:Q503" si="278">SUM(I504:I507)</f>
        <v>750</v>
      </c>
      <c r="J503" s="55">
        <f t="shared" si="278"/>
        <v>0</v>
      </c>
      <c r="K503" s="55">
        <f t="shared" si="278"/>
        <v>0</v>
      </c>
      <c r="L503" s="55">
        <f t="shared" si="278"/>
        <v>0</v>
      </c>
      <c r="M503" s="55">
        <f>SUM(M504:M507)</f>
        <v>0</v>
      </c>
      <c r="N503" s="55">
        <f t="shared" si="278"/>
        <v>0</v>
      </c>
      <c r="O503" s="55">
        <f t="shared" si="278"/>
        <v>0</v>
      </c>
      <c r="P503" s="55">
        <f t="shared" si="278"/>
        <v>0</v>
      </c>
      <c r="Q503" s="56">
        <f t="shared" si="278"/>
        <v>0</v>
      </c>
      <c r="R503" s="169">
        <f>SUM(R504:R507)</f>
        <v>197.89</v>
      </c>
      <c r="S503" s="89">
        <f t="shared" si="249"/>
        <v>-197.89</v>
      </c>
      <c r="T503" s="216">
        <f t="shared" si="250"/>
        <v>0</v>
      </c>
      <c r="U503" s="144">
        <f t="shared" ref="U503:AC503" si="279">SUM(U504:U507)</f>
        <v>0</v>
      </c>
      <c r="V503" s="145">
        <f t="shared" si="279"/>
        <v>0</v>
      </c>
      <c r="W503" s="145">
        <f t="shared" si="279"/>
        <v>0</v>
      </c>
      <c r="X503" s="145">
        <f t="shared" si="279"/>
        <v>0</v>
      </c>
      <c r="Y503" s="145">
        <f t="shared" si="279"/>
        <v>0</v>
      </c>
      <c r="Z503" s="145">
        <f t="shared" si="279"/>
        <v>0</v>
      </c>
      <c r="AA503" s="145">
        <f t="shared" si="279"/>
        <v>0</v>
      </c>
      <c r="AB503" s="145">
        <f t="shared" si="279"/>
        <v>0</v>
      </c>
      <c r="AC503" s="146">
        <f t="shared" si="279"/>
        <v>0</v>
      </c>
      <c r="AD503" s="33">
        <v>750</v>
      </c>
      <c r="AE503" s="33">
        <f>28.08+8.53+631.32</f>
        <v>667.93000000000006</v>
      </c>
      <c r="AF503" s="127">
        <f>AE503*100/AD503</f>
        <v>89.057333333333332</v>
      </c>
    </row>
    <row r="504" spans="1:32" outlineLevel="1" x14ac:dyDescent="0.25">
      <c r="A504" s="5" t="s">
        <v>479</v>
      </c>
      <c r="B504" s="75" t="s">
        <v>281</v>
      </c>
      <c r="C504" s="25"/>
      <c r="D504" s="92">
        <v>1</v>
      </c>
      <c r="E504" s="110">
        <v>200</v>
      </c>
      <c r="F504" s="93">
        <f>D504*E504</f>
        <v>200</v>
      </c>
      <c r="G504" s="74">
        <f t="shared" si="261"/>
        <v>0</v>
      </c>
      <c r="H504" s="95">
        <f t="shared" si="256"/>
        <v>200</v>
      </c>
      <c r="I504" s="112">
        <v>200</v>
      </c>
      <c r="J504" s="57"/>
      <c r="K504" s="57"/>
      <c r="L504" s="57"/>
      <c r="M504" s="57"/>
      <c r="N504" s="57"/>
      <c r="O504" s="57"/>
      <c r="P504" s="68"/>
      <c r="Q504" s="58"/>
      <c r="R504" s="170">
        <v>101.41</v>
      </c>
      <c r="S504" s="89">
        <f t="shared" si="249"/>
        <v>-101.41</v>
      </c>
      <c r="T504" s="216">
        <f t="shared" si="250"/>
        <v>0</v>
      </c>
      <c r="U504" s="147"/>
      <c r="V504" s="148"/>
      <c r="W504" s="148"/>
      <c r="X504" s="148"/>
      <c r="Y504" s="148"/>
      <c r="Z504" s="148"/>
      <c r="AA504" s="148"/>
      <c r="AB504" s="149"/>
      <c r="AC504" s="150"/>
      <c r="AD504" s="76"/>
      <c r="AE504" s="76"/>
      <c r="AF504" s="128"/>
    </row>
    <row r="505" spans="1:32" outlineLevel="1" x14ac:dyDescent="0.25">
      <c r="A505" s="4" t="s">
        <v>480</v>
      </c>
      <c r="B505" s="75" t="s">
        <v>309</v>
      </c>
      <c r="C505" s="25"/>
      <c r="D505" s="92">
        <v>4</v>
      </c>
      <c r="E505" s="110">
        <v>100</v>
      </c>
      <c r="F505" s="93">
        <f>D505*E505</f>
        <v>400</v>
      </c>
      <c r="G505" s="74">
        <f t="shared" si="261"/>
        <v>0</v>
      </c>
      <c r="H505" s="95">
        <f t="shared" si="256"/>
        <v>400</v>
      </c>
      <c r="I505" s="112">
        <v>400</v>
      </c>
      <c r="J505" s="57"/>
      <c r="K505" s="57"/>
      <c r="L505" s="57"/>
      <c r="M505" s="57"/>
      <c r="N505" s="57"/>
      <c r="O505" s="57"/>
      <c r="P505" s="68"/>
      <c r="Q505" s="58"/>
      <c r="R505" s="170">
        <v>96.48</v>
      </c>
      <c r="S505" s="89">
        <f t="shared" si="249"/>
        <v>-96.48</v>
      </c>
      <c r="T505" s="216">
        <f t="shared" si="250"/>
        <v>0</v>
      </c>
      <c r="U505" s="147"/>
      <c r="V505" s="148"/>
      <c r="W505" s="148"/>
      <c r="X505" s="148"/>
      <c r="Y505" s="148"/>
      <c r="Z505" s="148"/>
      <c r="AA505" s="148"/>
      <c r="AB505" s="149"/>
      <c r="AC505" s="150"/>
      <c r="AD505" s="76"/>
      <c r="AE505" s="76"/>
      <c r="AF505" s="128"/>
    </row>
    <row r="506" spans="1:32" outlineLevel="1" x14ac:dyDescent="0.25">
      <c r="A506" s="4" t="s">
        <v>481</v>
      </c>
      <c r="B506" s="75" t="s">
        <v>285</v>
      </c>
      <c r="C506" s="25"/>
      <c r="D506" s="92">
        <v>1</v>
      </c>
      <c r="E506" s="110">
        <v>150</v>
      </c>
      <c r="F506" s="93">
        <f>D506*E506</f>
        <v>150</v>
      </c>
      <c r="G506" s="74">
        <f t="shared" si="261"/>
        <v>0</v>
      </c>
      <c r="H506" s="95">
        <f t="shared" si="256"/>
        <v>150</v>
      </c>
      <c r="I506" s="112">
        <v>150</v>
      </c>
      <c r="J506" s="57"/>
      <c r="K506" s="57"/>
      <c r="L506" s="57"/>
      <c r="M506" s="57"/>
      <c r="N506" s="57"/>
      <c r="O506" s="57"/>
      <c r="P506" s="68"/>
      <c r="Q506" s="58"/>
      <c r="R506" s="170">
        <f>P506*Q506</f>
        <v>0</v>
      </c>
      <c r="S506" s="89">
        <f t="shared" si="249"/>
        <v>0</v>
      </c>
      <c r="T506" s="216">
        <f t="shared" si="250"/>
        <v>0</v>
      </c>
      <c r="U506" s="147"/>
      <c r="V506" s="148"/>
      <c r="W506" s="148"/>
      <c r="X506" s="148"/>
      <c r="Y506" s="148"/>
      <c r="Z506" s="148"/>
      <c r="AA506" s="148"/>
      <c r="AB506" s="149"/>
      <c r="AC506" s="150"/>
      <c r="AD506" s="76"/>
      <c r="AE506" s="76"/>
      <c r="AF506" s="128"/>
    </row>
    <row r="507" spans="1:32" outlineLevel="1" x14ac:dyDescent="0.25">
      <c r="A507" s="4" t="s">
        <v>482</v>
      </c>
      <c r="B507" s="75" t="s">
        <v>47</v>
      </c>
      <c r="C507" s="25"/>
      <c r="D507" s="92"/>
      <c r="E507" s="110"/>
      <c r="F507" s="93">
        <f>D507*E507</f>
        <v>0</v>
      </c>
      <c r="G507" s="74">
        <f t="shared" si="261"/>
        <v>0</v>
      </c>
      <c r="H507" s="95">
        <f t="shared" si="256"/>
        <v>0</v>
      </c>
      <c r="I507" s="112"/>
      <c r="J507" s="57"/>
      <c r="K507" s="57"/>
      <c r="L507" s="57"/>
      <c r="M507" s="57"/>
      <c r="N507" s="57"/>
      <c r="O507" s="57"/>
      <c r="P507" s="68"/>
      <c r="Q507" s="58"/>
      <c r="R507" s="170">
        <f>P507*Q507</f>
        <v>0</v>
      </c>
      <c r="S507" s="89">
        <f t="shared" si="249"/>
        <v>0</v>
      </c>
      <c r="T507" s="216">
        <f t="shared" si="250"/>
        <v>0</v>
      </c>
      <c r="U507" s="147"/>
      <c r="V507" s="148"/>
      <c r="W507" s="148"/>
      <c r="X507" s="148"/>
      <c r="Y507" s="148"/>
      <c r="Z507" s="148"/>
      <c r="AA507" s="148"/>
      <c r="AB507" s="149"/>
      <c r="AC507" s="150"/>
      <c r="AD507" s="76"/>
      <c r="AE507" s="76"/>
      <c r="AF507" s="128"/>
    </row>
    <row r="508" spans="1:32" s="3" customFormat="1" ht="15.75" x14ac:dyDescent="0.25">
      <c r="A508" s="7" t="s">
        <v>483</v>
      </c>
      <c r="B508" s="13" t="s">
        <v>248</v>
      </c>
      <c r="C508" s="23"/>
      <c r="D508" s="24"/>
      <c r="E508" s="17"/>
      <c r="F508" s="82">
        <f>SUM(F509:F511)</f>
        <v>6150</v>
      </c>
      <c r="G508" s="89">
        <f t="shared" si="261"/>
        <v>0</v>
      </c>
      <c r="H508" s="18">
        <f t="shared" si="256"/>
        <v>6150</v>
      </c>
      <c r="I508" s="54">
        <f t="shared" ref="I508:Q508" si="280">SUM(I509:I511)</f>
        <v>750</v>
      </c>
      <c r="J508" s="55">
        <f t="shared" si="280"/>
        <v>5400</v>
      </c>
      <c r="K508" s="55">
        <f t="shared" si="280"/>
        <v>0</v>
      </c>
      <c r="L508" s="55">
        <f t="shared" si="280"/>
        <v>0</v>
      </c>
      <c r="M508" s="55">
        <f t="shared" si="280"/>
        <v>0</v>
      </c>
      <c r="N508" s="55">
        <f t="shared" si="280"/>
        <v>0</v>
      </c>
      <c r="O508" s="55">
        <f t="shared" si="280"/>
        <v>0</v>
      </c>
      <c r="P508" s="55">
        <f t="shared" si="280"/>
        <v>0</v>
      </c>
      <c r="Q508" s="56">
        <f t="shared" si="280"/>
        <v>0</v>
      </c>
      <c r="R508" s="169">
        <f>SUM(R509:R511)</f>
        <v>198.74</v>
      </c>
      <c r="S508" s="89">
        <f t="shared" si="249"/>
        <v>-198.74</v>
      </c>
      <c r="T508" s="216">
        <f t="shared" si="250"/>
        <v>0</v>
      </c>
      <c r="U508" s="144">
        <f>SUM(U509:U511)</f>
        <v>0</v>
      </c>
      <c r="V508" s="145">
        <f t="shared" ref="V508:AC508" si="281">SUM(V509:V511)</f>
        <v>0</v>
      </c>
      <c r="W508" s="145">
        <f t="shared" si="281"/>
        <v>0</v>
      </c>
      <c r="X508" s="145">
        <f t="shared" si="281"/>
        <v>0</v>
      </c>
      <c r="Y508" s="145">
        <f t="shared" si="281"/>
        <v>0</v>
      </c>
      <c r="Z508" s="145">
        <f t="shared" si="281"/>
        <v>0</v>
      </c>
      <c r="AA508" s="145">
        <f t="shared" si="281"/>
        <v>0</v>
      </c>
      <c r="AB508" s="145">
        <f t="shared" si="281"/>
        <v>0</v>
      </c>
      <c r="AC508" s="146">
        <f t="shared" si="281"/>
        <v>0</v>
      </c>
      <c r="AD508" s="33">
        <v>6124</v>
      </c>
      <c r="AE508" s="33">
        <f>475.49+2922.11+373.8+572.99+738.96+499</f>
        <v>5582.35</v>
      </c>
      <c r="AF508" s="127">
        <f>AE508*100/AD508</f>
        <v>91.155290659699546</v>
      </c>
    </row>
    <row r="509" spans="1:32" outlineLevel="1" x14ac:dyDescent="0.25">
      <c r="A509" s="4" t="s">
        <v>484</v>
      </c>
      <c r="B509" s="75" t="s">
        <v>248</v>
      </c>
      <c r="C509" s="25"/>
      <c r="D509" s="92">
        <v>1</v>
      </c>
      <c r="E509" s="110">
        <v>5400</v>
      </c>
      <c r="F509" s="93">
        <f>D509*E509</f>
        <v>5400</v>
      </c>
      <c r="G509" s="74">
        <f t="shared" si="261"/>
        <v>0</v>
      </c>
      <c r="H509" s="95">
        <f t="shared" si="256"/>
        <v>5400</v>
      </c>
      <c r="I509" s="112"/>
      <c r="J509" s="57">
        <f>F509</f>
        <v>5400</v>
      </c>
      <c r="K509" s="57"/>
      <c r="L509" s="57"/>
      <c r="M509" s="57"/>
      <c r="N509" s="57"/>
      <c r="O509" s="57"/>
      <c r="P509" s="68"/>
      <c r="Q509" s="58"/>
      <c r="R509" s="170">
        <v>198.74</v>
      </c>
      <c r="S509" s="89">
        <f t="shared" si="249"/>
        <v>-198.74</v>
      </c>
      <c r="T509" s="216">
        <f t="shared" si="250"/>
        <v>0</v>
      </c>
      <c r="U509" s="147"/>
      <c r="V509" s="148">
        <f>O509</f>
        <v>0</v>
      </c>
      <c r="W509" s="148"/>
      <c r="X509" s="148"/>
      <c r="Y509" s="148"/>
      <c r="Z509" s="148"/>
      <c r="AA509" s="148"/>
      <c r="AB509" s="149"/>
      <c r="AC509" s="150"/>
      <c r="AD509" s="76"/>
      <c r="AE509" s="76"/>
      <c r="AF509" s="128"/>
    </row>
    <row r="510" spans="1:32" outlineLevel="1" x14ac:dyDescent="0.25">
      <c r="A510" s="4" t="s">
        <v>485</v>
      </c>
      <c r="B510" s="75" t="s">
        <v>837</v>
      </c>
      <c r="C510" s="25"/>
      <c r="D510" s="92">
        <v>1</v>
      </c>
      <c r="E510" s="110">
        <v>750</v>
      </c>
      <c r="F510" s="93">
        <f>D510*E510</f>
        <v>750</v>
      </c>
      <c r="G510" s="74">
        <f t="shared" si="261"/>
        <v>0</v>
      </c>
      <c r="H510" s="95">
        <f t="shared" si="256"/>
        <v>750</v>
      </c>
      <c r="I510" s="112">
        <v>750</v>
      </c>
      <c r="J510" s="57"/>
      <c r="K510" s="57"/>
      <c r="L510" s="57"/>
      <c r="M510" s="57"/>
      <c r="N510" s="57"/>
      <c r="O510" s="57"/>
      <c r="P510" s="68"/>
      <c r="Q510" s="58"/>
      <c r="R510" s="170">
        <f>P510*Q510</f>
        <v>0</v>
      </c>
      <c r="S510" s="89">
        <f t="shared" si="249"/>
        <v>0</v>
      </c>
      <c r="T510" s="216">
        <f t="shared" si="250"/>
        <v>0</v>
      </c>
      <c r="U510" s="147"/>
      <c r="V510" s="148"/>
      <c r="W510" s="148"/>
      <c r="X510" s="148"/>
      <c r="Y510" s="148"/>
      <c r="Z510" s="148"/>
      <c r="AA510" s="148"/>
      <c r="AB510" s="149"/>
      <c r="AC510" s="150"/>
      <c r="AD510" s="76"/>
      <c r="AE510" s="76"/>
      <c r="AF510" s="128"/>
    </row>
    <row r="511" spans="1:32" outlineLevel="1" x14ac:dyDescent="0.25">
      <c r="A511" s="4" t="s">
        <v>486</v>
      </c>
      <c r="B511" s="75" t="s">
        <v>47</v>
      </c>
      <c r="C511" s="25"/>
      <c r="D511" s="92"/>
      <c r="E511" s="110"/>
      <c r="F511" s="93">
        <f>D511*E511</f>
        <v>0</v>
      </c>
      <c r="G511" s="74">
        <f t="shared" si="261"/>
        <v>0</v>
      </c>
      <c r="H511" s="95">
        <f t="shared" si="256"/>
        <v>0</v>
      </c>
      <c r="I511" s="112"/>
      <c r="J511" s="57"/>
      <c r="K511" s="57"/>
      <c r="L511" s="57"/>
      <c r="M511" s="57"/>
      <c r="N511" s="57"/>
      <c r="O511" s="57"/>
      <c r="P511" s="68"/>
      <c r="Q511" s="58"/>
      <c r="R511" s="170">
        <f>P511*Q511</f>
        <v>0</v>
      </c>
      <c r="S511" s="89">
        <f t="shared" si="249"/>
        <v>0</v>
      </c>
      <c r="T511" s="216">
        <f t="shared" si="250"/>
        <v>0</v>
      </c>
      <c r="U511" s="147"/>
      <c r="V511" s="148"/>
      <c r="W511" s="148"/>
      <c r="X511" s="148"/>
      <c r="Y511" s="148"/>
      <c r="Z511" s="148"/>
      <c r="AA511" s="148"/>
      <c r="AB511" s="149"/>
      <c r="AC511" s="150"/>
      <c r="AD511" s="76"/>
      <c r="AE511" s="76"/>
      <c r="AF511" s="128"/>
    </row>
    <row r="512" spans="1:32" s="3" customFormat="1" ht="15.75" x14ac:dyDescent="0.25">
      <c r="A512" s="7" t="s">
        <v>487</v>
      </c>
      <c r="B512" s="13" t="s">
        <v>666</v>
      </c>
      <c r="C512" s="23"/>
      <c r="D512" s="24"/>
      <c r="E512" s="17"/>
      <c r="F512" s="82">
        <f>SUM(F513:F513)</f>
        <v>0</v>
      </c>
      <c r="G512" s="89">
        <f t="shared" si="261"/>
        <v>0</v>
      </c>
      <c r="H512" s="18">
        <f t="shared" si="256"/>
        <v>0</v>
      </c>
      <c r="I512" s="54">
        <f t="shared" ref="I512:AC512" si="282">SUM(I513:I513)</f>
        <v>0</v>
      </c>
      <c r="J512" s="55">
        <f t="shared" si="282"/>
        <v>0</v>
      </c>
      <c r="K512" s="55">
        <f t="shared" si="282"/>
        <v>0</v>
      </c>
      <c r="L512" s="55">
        <f t="shared" si="282"/>
        <v>0</v>
      </c>
      <c r="M512" s="55">
        <f t="shared" si="282"/>
        <v>0</v>
      </c>
      <c r="N512" s="55">
        <f t="shared" si="282"/>
        <v>0</v>
      </c>
      <c r="O512" s="55">
        <f t="shared" si="282"/>
        <v>0</v>
      </c>
      <c r="P512" s="55">
        <f t="shared" si="282"/>
        <v>0</v>
      </c>
      <c r="Q512" s="56">
        <f t="shared" si="282"/>
        <v>0</v>
      </c>
      <c r="R512" s="169">
        <f>SUM(R513:R513)</f>
        <v>667.45999999999992</v>
      </c>
      <c r="S512" s="89">
        <f t="shared" si="249"/>
        <v>-667.45999999999992</v>
      </c>
      <c r="T512" s="216">
        <f t="shared" si="250"/>
        <v>0</v>
      </c>
      <c r="U512" s="144">
        <f t="shared" si="282"/>
        <v>0</v>
      </c>
      <c r="V512" s="145">
        <f t="shared" si="282"/>
        <v>0</v>
      </c>
      <c r="W512" s="145">
        <f t="shared" si="282"/>
        <v>0</v>
      </c>
      <c r="X512" s="145">
        <f t="shared" si="282"/>
        <v>0</v>
      </c>
      <c r="Y512" s="145">
        <f t="shared" si="282"/>
        <v>0</v>
      </c>
      <c r="Z512" s="145">
        <f t="shared" si="282"/>
        <v>0</v>
      </c>
      <c r="AA512" s="145">
        <f t="shared" si="282"/>
        <v>0</v>
      </c>
      <c r="AB512" s="145">
        <f t="shared" si="282"/>
        <v>0</v>
      </c>
      <c r="AC512" s="146">
        <f t="shared" si="282"/>
        <v>0</v>
      </c>
      <c r="AD512" s="33">
        <v>0</v>
      </c>
      <c r="AE512" s="33">
        <f>SUM(AE513:AE513)</f>
        <v>0</v>
      </c>
      <c r="AF512" s="127"/>
    </row>
    <row r="513" spans="1:32" outlineLevel="1" x14ac:dyDescent="0.25">
      <c r="A513" s="4" t="s">
        <v>488</v>
      </c>
      <c r="B513" s="75" t="s">
        <v>47</v>
      </c>
      <c r="C513" s="25"/>
      <c r="D513" s="92"/>
      <c r="E513" s="110"/>
      <c r="F513" s="93">
        <f>D513*E513</f>
        <v>0</v>
      </c>
      <c r="G513" s="74">
        <f t="shared" si="261"/>
        <v>0</v>
      </c>
      <c r="H513" s="95">
        <f t="shared" si="256"/>
        <v>0</v>
      </c>
      <c r="I513" s="112"/>
      <c r="J513" s="57"/>
      <c r="K513" s="57"/>
      <c r="L513" s="57"/>
      <c r="M513" s="57"/>
      <c r="N513" s="57"/>
      <c r="O513" s="57"/>
      <c r="P513" s="68"/>
      <c r="Q513" s="58"/>
      <c r="R513" s="170">
        <f>623.06+44.4</f>
        <v>667.45999999999992</v>
      </c>
      <c r="S513" s="89">
        <f t="shared" si="249"/>
        <v>-667.45999999999992</v>
      </c>
      <c r="T513" s="216">
        <f t="shared" si="250"/>
        <v>0</v>
      </c>
      <c r="U513" s="147"/>
      <c r="V513" s="148"/>
      <c r="W513" s="148"/>
      <c r="X513" s="148"/>
      <c r="Y513" s="148"/>
      <c r="Z513" s="148"/>
      <c r="AA513" s="148"/>
      <c r="AB513" s="149"/>
      <c r="AC513" s="150"/>
      <c r="AD513" s="76"/>
      <c r="AE513" s="76"/>
      <c r="AF513" s="128"/>
    </row>
    <row r="514" spans="1:32" s="3" customFormat="1" ht="15.75" x14ac:dyDescent="0.25">
      <c r="A514" s="7" t="s">
        <v>489</v>
      </c>
      <c r="B514" s="13" t="s">
        <v>250</v>
      </c>
      <c r="C514" s="23"/>
      <c r="D514" s="24"/>
      <c r="E514" s="17"/>
      <c r="F514" s="82">
        <f>SUM(F515:F516)</f>
        <v>1000</v>
      </c>
      <c r="G514" s="89">
        <f t="shared" si="261"/>
        <v>0</v>
      </c>
      <c r="H514" s="18">
        <f t="shared" si="256"/>
        <v>1000</v>
      </c>
      <c r="I514" s="54">
        <f t="shared" ref="I514:Q514" si="283">SUM(I515:I516)</f>
        <v>1000</v>
      </c>
      <c r="J514" s="55">
        <f t="shared" si="283"/>
        <v>0</v>
      </c>
      <c r="K514" s="55">
        <f t="shared" si="283"/>
        <v>0</v>
      </c>
      <c r="L514" s="55">
        <f t="shared" si="283"/>
        <v>0</v>
      </c>
      <c r="M514" s="55">
        <f t="shared" si="283"/>
        <v>0</v>
      </c>
      <c r="N514" s="55">
        <f t="shared" si="283"/>
        <v>0</v>
      </c>
      <c r="O514" s="55">
        <f t="shared" si="283"/>
        <v>0</v>
      </c>
      <c r="P514" s="55">
        <f t="shared" si="283"/>
        <v>0</v>
      </c>
      <c r="Q514" s="56">
        <f t="shared" si="283"/>
        <v>0</v>
      </c>
      <c r="R514" s="169">
        <f>SUM(R515:R516)</f>
        <v>53.28</v>
      </c>
      <c r="S514" s="89">
        <f t="shared" si="249"/>
        <v>-53.28</v>
      </c>
      <c r="T514" s="216">
        <f t="shared" si="250"/>
        <v>0</v>
      </c>
      <c r="U514" s="144">
        <f>SUM(U515:U516)</f>
        <v>0</v>
      </c>
      <c r="V514" s="145">
        <f t="shared" ref="V514:AC514" si="284">SUM(V515:V516)</f>
        <v>0</v>
      </c>
      <c r="W514" s="145">
        <f t="shared" si="284"/>
        <v>0</v>
      </c>
      <c r="X514" s="145">
        <f t="shared" si="284"/>
        <v>0</v>
      </c>
      <c r="Y514" s="145">
        <f t="shared" si="284"/>
        <v>0</v>
      </c>
      <c r="Z514" s="145">
        <f t="shared" si="284"/>
        <v>0</v>
      </c>
      <c r="AA514" s="145">
        <f t="shared" si="284"/>
        <v>0</v>
      </c>
      <c r="AB514" s="145">
        <f t="shared" si="284"/>
        <v>0</v>
      </c>
      <c r="AC514" s="146">
        <f t="shared" si="284"/>
        <v>0</v>
      </c>
      <c r="AD514" s="33">
        <v>0</v>
      </c>
      <c r="AE514" s="33">
        <f>907.17+384.74+9.18</f>
        <v>1301.0899999999999</v>
      </c>
      <c r="AF514" s="127"/>
    </row>
    <row r="515" spans="1:32" outlineLevel="1" x14ac:dyDescent="0.25">
      <c r="A515" s="4" t="s">
        <v>490</v>
      </c>
      <c r="B515" s="75" t="s">
        <v>861</v>
      </c>
      <c r="C515" s="25"/>
      <c r="D515" s="92">
        <v>1</v>
      </c>
      <c r="E515" s="110">
        <v>1000</v>
      </c>
      <c r="F515" s="93">
        <f>D515*E515</f>
        <v>1000</v>
      </c>
      <c r="G515" s="74">
        <f t="shared" si="261"/>
        <v>0</v>
      </c>
      <c r="H515" s="95">
        <f t="shared" si="256"/>
        <v>1000</v>
      </c>
      <c r="I515" s="112">
        <f>F515</f>
        <v>1000</v>
      </c>
      <c r="J515" s="57"/>
      <c r="K515" s="57"/>
      <c r="L515" s="57"/>
      <c r="M515" s="57"/>
      <c r="N515" s="57"/>
      <c r="O515" s="57"/>
      <c r="P515" s="68"/>
      <c r="Q515" s="58"/>
      <c r="R515" s="170">
        <f>P515*Q515</f>
        <v>0</v>
      </c>
      <c r="S515" s="89">
        <f t="shared" si="249"/>
        <v>0</v>
      </c>
      <c r="T515" s="216">
        <f t="shared" si="250"/>
        <v>0</v>
      </c>
      <c r="U515" s="147">
        <f>Q515</f>
        <v>0</v>
      </c>
      <c r="V515" s="148"/>
      <c r="W515" s="148"/>
      <c r="X515" s="148"/>
      <c r="Y515" s="148"/>
      <c r="Z515" s="148"/>
      <c r="AA515" s="148"/>
      <c r="AB515" s="149"/>
      <c r="AC515" s="150"/>
      <c r="AD515" s="76"/>
      <c r="AE515" s="76"/>
      <c r="AF515" s="128"/>
    </row>
    <row r="516" spans="1:32" outlineLevel="1" x14ac:dyDescent="0.25">
      <c r="A516" s="4" t="s">
        <v>491</v>
      </c>
      <c r="B516" s="75" t="s">
        <v>47</v>
      </c>
      <c r="C516" s="25"/>
      <c r="D516" s="92"/>
      <c r="E516" s="110"/>
      <c r="F516" s="93">
        <f>D516*E516</f>
        <v>0</v>
      </c>
      <c r="G516" s="74">
        <f t="shared" si="261"/>
        <v>0</v>
      </c>
      <c r="H516" s="95">
        <f t="shared" si="256"/>
        <v>0</v>
      </c>
      <c r="I516" s="112"/>
      <c r="J516" s="57"/>
      <c r="K516" s="57"/>
      <c r="L516" s="57"/>
      <c r="M516" s="57"/>
      <c r="N516" s="57"/>
      <c r="O516" s="57"/>
      <c r="P516" s="68"/>
      <c r="Q516" s="58"/>
      <c r="R516" s="170">
        <v>53.28</v>
      </c>
      <c r="S516" s="89">
        <f t="shared" si="249"/>
        <v>-53.28</v>
      </c>
      <c r="T516" s="216">
        <f t="shared" si="250"/>
        <v>0</v>
      </c>
      <c r="U516" s="147"/>
      <c r="V516" s="148"/>
      <c r="W516" s="148"/>
      <c r="X516" s="148"/>
      <c r="Y516" s="148"/>
      <c r="Z516" s="148"/>
      <c r="AA516" s="148"/>
      <c r="AB516" s="149"/>
      <c r="AC516" s="150"/>
      <c r="AD516" s="76"/>
      <c r="AE516" s="76"/>
      <c r="AF516" s="128"/>
    </row>
    <row r="517" spans="1:32" s="3" customFormat="1" ht="15.75" x14ac:dyDescent="0.25">
      <c r="A517" s="7" t="s">
        <v>492</v>
      </c>
      <c r="B517" s="13" t="s">
        <v>495</v>
      </c>
      <c r="C517" s="23"/>
      <c r="D517" s="24"/>
      <c r="E517" s="17"/>
      <c r="F517" s="82">
        <f>SUM(F518:F518)</f>
        <v>600</v>
      </c>
      <c r="G517" s="89">
        <f t="shared" si="261"/>
        <v>0</v>
      </c>
      <c r="H517" s="18">
        <f t="shared" si="256"/>
        <v>600</v>
      </c>
      <c r="I517" s="54">
        <f t="shared" ref="I517:AC517" si="285">SUM(I518:I518)</f>
        <v>0</v>
      </c>
      <c r="J517" s="55">
        <f t="shared" si="285"/>
        <v>600</v>
      </c>
      <c r="K517" s="55">
        <f t="shared" si="285"/>
        <v>0</v>
      </c>
      <c r="L517" s="55">
        <f t="shared" si="285"/>
        <v>0</v>
      </c>
      <c r="M517" s="55">
        <f t="shared" si="285"/>
        <v>0</v>
      </c>
      <c r="N517" s="55">
        <f t="shared" si="285"/>
        <v>0</v>
      </c>
      <c r="O517" s="55">
        <f t="shared" si="285"/>
        <v>0</v>
      </c>
      <c r="P517" s="55">
        <f t="shared" si="285"/>
        <v>0</v>
      </c>
      <c r="Q517" s="56">
        <f t="shared" si="285"/>
        <v>0</v>
      </c>
      <c r="R517" s="169">
        <f>SUM(R518:R518)</f>
        <v>0</v>
      </c>
      <c r="S517" s="89">
        <f t="shared" ref="S517:S580" si="286">T517-R517</f>
        <v>0</v>
      </c>
      <c r="T517" s="216">
        <f t="shared" ref="T517:T580" si="287">+U517+V517+W517+X517+Y517+Z517+AA517+AB517+AC517</f>
        <v>0</v>
      </c>
      <c r="U517" s="144">
        <f t="shared" si="285"/>
        <v>0</v>
      </c>
      <c r="V517" s="145">
        <f t="shared" si="285"/>
        <v>0</v>
      </c>
      <c r="W517" s="145">
        <f t="shared" si="285"/>
        <v>0</v>
      </c>
      <c r="X517" s="145">
        <f t="shared" si="285"/>
        <v>0</v>
      </c>
      <c r="Y517" s="145">
        <f t="shared" si="285"/>
        <v>0</v>
      </c>
      <c r="Z517" s="145">
        <f t="shared" si="285"/>
        <v>0</v>
      </c>
      <c r="AA517" s="145">
        <f t="shared" si="285"/>
        <v>0</v>
      </c>
      <c r="AB517" s="145">
        <f t="shared" si="285"/>
        <v>0</v>
      </c>
      <c r="AC517" s="146">
        <f t="shared" si="285"/>
        <v>0</v>
      </c>
      <c r="AD517" s="33">
        <v>0</v>
      </c>
      <c r="AE517" s="33">
        <f>SUM(AE518:AE518)</f>
        <v>0</v>
      </c>
      <c r="AF517" s="127"/>
    </row>
    <row r="518" spans="1:32" outlineLevel="1" x14ac:dyDescent="0.25">
      <c r="A518" s="4" t="s">
        <v>493</v>
      </c>
      <c r="B518" s="75" t="s">
        <v>495</v>
      </c>
      <c r="C518" s="25"/>
      <c r="D518" s="92">
        <v>1</v>
      </c>
      <c r="E518" s="110">
        <v>600</v>
      </c>
      <c r="F518" s="93">
        <f>D518*E518</f>
        <v>600</v>
      </c>
      <c r="G518" s="74">
        <f t="shared" si="261"/>
        <v>0</v>
      </c>
      <c r="H518" s="95">
        <f t="shared" si="256"/>
        <v>600</v>
      </c>
      <c r="I518" s="112"/>
      <c r="J518" s="57">
        <v>600</v>
      </c>
      <c r="K518" s="57"/>
      <c r="L518" s="57"/>
      <c r="M518" s="57"/>
      <c r="N518" s="57"/>
      <c r="O518" s="57"/>
      <c r="P518" s="68"/>
      <c r="Q518" s="58"/>
      <c r="R518" s="170">
        <f>P518*Q518</f>
        <v>0</v>
      </c>
      <c r="S518" s="89">
        <f t="shared" si="286"/>
        <v>0</v>
      </c>
      <c r="T518" s="216">
        <f t="shared" si="287"/>
        <v>0</v>
      </c>
      <c r="U518" s="147"/>
      <c r="V518" s="148"/>
      <c r="W518" s="148"/>
      <c r="X518" s="148"/>
      <c r="Y518" s="148"/>
      <c r="Z518" s="148"/>
      <c r="AA518" s="148"/>
      <c r="AB518" s="149"/>
      <c r="AC518" s="150"/>
      <c r="AD518" s="76"/>
      <c r="AE518" s="76"/>
      <c r="AF518" s="128"/>
    </row>
    <row r="519" spans="1:32" s="2" customFormat="1" ht="21" x14ac:dyDescent="0.35">
      <c r="A519" s="8" t="s">
        <v>619</v>
      </c>
      <c r="B519" s="12" t="s">
        <v>477</v>
      </c>
      <c r="C519" s="21"/>
      <c r="D519" s="22"/>
      <c r="E519" s="15"/>
      <c r="F519" s="84">
        <f>F520+F525+F541+F575+F579</f>
        <v>95800</v>
      </c>
      <c r="G519" s="89">
        <f t="shared" si="261"/>
        <v>0</v>
      </c>
      <c r="H519" s="16">
        <f t="shared" si="256"/>
        <v>95800</v>
      </c>
      <c r="I519" s="51">
        <f t="shared" ref="I519:Q519" si="288">I520+I525+I541+I575+I579</f>
        <v>8125</v>
      </c>
      <c r="J519" s="51">
        <f t="shared" si="288"/>
        <v>87675</v>
      </c>
      <c r="K519" s="51">
        <f t="shared" si="288"/>
        <v>0</v>
      </c>
      <c r="L519" s="51">
        <f t="shared" si="288"/>
        <v>0</v>
      </c>
      <c r="M519" s="51">
        <f t="shared" si="288"/>
        <v>0</v>
      </c>
      <c r="N519" s="51">
        <f t="shared" si="288"/>
        <v>0</v>
      </c>
      <c r="O519" s="51">
        <f t="shared" si="288"/>
        <v>0</v>
      </c>
      <c r="P519" s="51">
        <f t="shared" si="288"/>
        <v>0</v>
      </c>
      <c r="Q519" s="59">
        <f t="shared" si="288"/>
        <v>0</v>
      </c>
      <c r="R519" s="168">
        <f>R520+R525+R541+R575+R579</f>
        <v>12902.189999999999</v>
      </c>
      <c r="S519" s="89">
        <f t="shared" si="286"/>
        <v>99.990000000001601</v>
      </c>
      <c r="T519" s="216">
        <f t="shared" si="287"/>
        <v>13002.18</v>
      </c>
      <c r="U519" s="144">
        <f>U520+U525+U541+U575+U579</f>
        <v>0</v>
      </c>
      <c r="V519" s="144">
        <f>7484+72+1656+1872+1872+46.18</f>
        <v>13002.18</v>
      </c>
      <c r="W519" s="144">
        <f t="shared" ref="W519:AC519" si="289">W520+W525+W541+W575+W579</f>
        <v>0</v>
      </c>
      <c r="X519" s="144">
        <f t="shared" si="289"/>
        <v>0</v>
      </c>
      <c r="Y519" s="144">
        <f t="shared" si="289"/>
        <v>0</v>
      </c>
      <c r="Z519" s="144">
        <f t="shared" si="289"/>
        <v>0</v>
      </c>
      <c r="AA519" s="144">
        <f t="shared" si="289"/>
        <v>0</v>
      </c>
      <c r="AB519" s="144">
        <f t="shared" si="289"/>
        <v>0</v>
      </c>
      <c r="AC519" s="151">
        <f t="shared" si="289"/>
        <v>0</v>
      </c>
      <c r="AD519" s="32">
        <f>+AD520+AD525+AD541+AD575+AD579</f>
        <v>114231</v>
      </c>
      <c r="AE519" s="32">
        <f>AE520+AE525+AE541+AE575+AE579</f>
        <v>121198.46</v>
      </c>
      <c r="AF519" s="126">
        <f>AE519*100/AD519</f>
        <v>106.09944761054355</v>
      </c>
    </row>
    <row r="520" spans="1:32" s="3" customFormat="1" ht="15.75" x14ac:dyDescent="0.25">
      <c r="A520" s="7" t="s">
        <v>620</v>
      </c>
      <c r="B520" s="13" t="s">
        <v>265</v>
      </c>
      <c r="C520" s="23"/>
      <c r="D520" s="24"/>
      <c r="E520" s="17"/>
      <c r="F520" s="82">
        <f>SUM(F521:F524)</f>
        <v>1000</v>
      </c>
      <c r="G520" s="89">
        <f t="shared" si="261"/>
        <v>0</v>
      </c>
      <c r="H520" s="18">
        <f t="shared" si="256"/>
        <v>1000</v>
      </c>
      <c r="I520" s="54">
        <f t="shared" ref="I520:Q520" si="290">SUM(I521:I524)</f>
        <v>1000</v>
      </c>
      <c r="J520" s="55">
        <f t="shared" si="290"/>
        <v>0</v>
      </c>
      <c r="K520" s="55">
        <f t="shared" si="290"/>
        <v>0</v>
      </c>
      <c r="L520" s="55">
        <f t="shared" si="290"/>
        <v>0</v>
      </c>
      <c r="M520" s="55">
        <f>SUM(M521:M524)</f>
        <v>0</v>
      </c>
      <c r="N520" s="55">
        <f t="shared" si="290"/>
        <v>0</v>
      </c>
      <c r="O520" s="55">
        <f t="shared" si="290"/>
        <v>0</v>
      </c>
      <c r="P520" s="55">
        <f t="shared" si="290"/>
        <v>0</v>
      </c>
      <c r="Q520" s="56">
        <f t="shared" si="290"/>
        <v>0</v>
      </c>
      <c r="R520" s="169">
        <f>SUM(R521:R524)</f>
        <v>299.88</v>
      </c>
      <c r="S520" s="89">
        <f t="shared" si="286"/>
        <v>-299.88</v>
      </c>
      <c r="T520" s="216">
        <f t="shared" si="287"/>
        <v>0</v>
      </c>
      <c r="U520" s="144">
        <f t="shared" ref="U520:AC520" si="291">SUM(U521:U524)</f>
        <v>0</v>
      </c>
      <c r="V520" s="145">
        <f t="shared" si="291"/>
        <v>0</v>
      </c>
      <c r="W520" s="145">
        <f t="shared" si="291"/>
        <v>0</v>
      </c>
      <c r="X520" s="145">
        <f t="shared" si="291"/>
        <v>0</v>
      </c>
      <c r="Y520" s="145">
        <f t="shared" si="291"/>
        <v>0</v>
      </c>
      <c r="Z520" s="145">
        <f t="shared" si="291"/>
        <v>0</v>
      </c>
      <c r="AA520" s="145">
        <f t="shared" si="291"/>
        <v>0</v>
      </c>
      <c r="AB520" s="145">
        <f t="shared" si="291"/>
        <v>0</v>
      </c>
      <c r="AC520" s="146">
        <f t="shared" si="291"/>
        <v>0</v>
      </c>
      <c r="AD520" s="33">
        <v>1200</v>
      </c>
      <c r="AE520" s="33">
        <v>1115.68</v>
      </c>
      <c r="AF520" s="127">
        <f>AE520*100/AD520</f>
        <v>92.973333333333329</v>
      </c>
    </row>
    <row r="521" spans="1:32" outlineLevel="1" x14ac:dyDescent="0.25">
      <c r="A521" s="5" t="s">
        <v>621</v>
      </c>
      <c r="B521" s="75" t="s">
        <v>281</v>
      </c>
      <c r="C521" s="25"/>
      <c r="D521" s="92">
        <v>1</v>
      </c>
      <c r="E521" s="110">
        <v>200</v>
      </c>
      <c r="F521" s="93">
        <f>D521*E521</f>
        <v>200</v>
      </c>
      <c r="G521" s="74">
        <f t="shared" si="261"/>
        <v>0</v>
      </c>
      <c r="H521" s="95">
        <f t="shared" si="256"/>
        <v>200</v>
      </c>
      <c r="I521" s="112">
        <v>200</v>
      </c>
      <c r="J521" s="57"/>
      <c r="K521" s="57"/>
      <c r="L521" s="57"/>
      <c r="M521" s="57"/>
      <c r="N521" s="57"/>
      <c r="O521" s="57"/>
      <c r="P521" s="68"/>
      <c r="Q521" s="58"/>
      <c r="R521" s="170">
        <f>P521*Q521</f>
        <v>0</v>
      </c>
      <c r="S521" s="89">
        <f t="shared" si="286"/>
        <v>0</v>
      </c>
      <c r="T521" s="216">
        <f t="shared" si="287"/>
        <v>0</v>
      </c>
      <c r="U521" s="147"/>
      <c r="V521" s="148"/>
      <c r="W521" s="148"/>
      <c r="X521" s="148"/>
      <c r="Y521" s="148"/>
      <c r="Z521" s="148"/>
      <c r="AA521" s="148"/>
      <c r="AB521" s="149"/>
      <c r="AC521" s="150"/>
      <c r="AD521" s="76"/>
      <c r="AE521" s="76"/>
      <c r="AF521" s="128"/>
    </row>
    <row r="522" spans="1:32" outlineLevel="1" x14ac:dyDescent="0.25">
      <c r="A522" s="4" t="s">
        <v>622</v>
      </c>
      <c r="B522" s="75" t="s">
        <v>309</v>
      </c>
      <c r="C522" s="25"/>
      <c r="D522" s="92">
        <v>4</v>
      </c>
      <c r="E522" s="110">
        <v>100</v>
      </c>
      <c r="F522" s="93">
        <f>D522*E522</f>
        <v>400</v>
      </c>
      <c r="G522" s="74">
        <f t="shared" si="261"/>
        <v>0</v>
      </c>
      <c r="H522" s="95">
        <f t="shared" si="256"/>
        <v>400</v>
      </c>
      <c r="I522" s="112">
        <v>400</v>
      </c>
      <c r="J522" s="57"/>
      <c r="K522" s="57"/>
      <c r="L522" s="57"/>
      <c r="M522" s="57"/>
      <c r="N522" s="57"/>
      <c r="O522" s="57"/>
      <c r="P522" s="68"/>
      <c r="Q522" s="58"/>
      <c r="R522" s="170">
        <v>134.63999999999999</v>
      </c>
      <c r="S522" s="89">
        <f t="shared" si="286"/>
        <v>-134.63999999999999</v>
      </c>
      <c r="T522" s="216">
        <f t="shared" si="287"/>
        <v>0</v>
      </c>
      <c r="U522" s="147"/>
      <c r="V522" s="148"/>
      <c r="W522" s="148"/>
      <c r="X522" s="148"/>
      <c r="Y522" s="148"/>
      <c r="Z522" s="148"/>
      <c r="AA522" s="148"/>
      <c r="AB522" s="149"/>
      <c r="AC522" s="150"/>
      <c r="AD522" s="76"/>
      <c r="AE522" s="76"/>
      <c r="AF522" s="128"/>
    </row>
    <row r="523" spans="1:32" outlineLevel="1" x14ac:dyDescent="0.25">
      <c r="A523" s="4" t="s">
        <v>623</v>
      </c>
      <c r="B523" s="75" t="s">
        <v>285</v>
      </c>
      <c r="C523" s="25"/>
      <c r="D523" s="92">
        <v>8</v>
      </c>
      <c r="E523" s="110">
        <v>50</v>
      </c>
      <c r="F523" s="93">
        <f>D523*E523</f>
        <v>400</v>
      </c>
      <c r="G523" s="74">
        <f t="shared" si="261"/>
        <v>0</v>
      </c>
      <c r="H523" s="95">
        <f t="shared" si="256"/>
        <v>400</v>
      </c>
      <c r="I523" s="112">
        <v>400</v>
      </c>
      <c r="J523" s="57"/>
      <c r="K523" s="57"/>
      <c r="L523" s="57"/>
      <c r="M523" s="57"/>
      <c r="N523" s="57"/>
      <c r="O523" s="57"/>
      <c r="P523" s="68"/>
      <c r="Q523" s="58"/>
      <c r="R523" s="170">
        <v>165.24</v>
      </c>
      <c r="S523" s="89">
        <f t="shared" si="286"/>
        <v>-165.24</v>
      </c>
      <c r="T523" s="216">
        <f t="shared" si="287"/>
        <v>0</v>
      </c>
      <c r="U523" s="147"/>
      <c r="V523" s="148"/>
      <c r="W523" s="148"/>
      <c r="X523" s="148"/>
      <c r="Y523" s="148"/>
      <c r="Z523" s="148"/>
      <c r="AA523" s="148"/>
      <c r="AB523" s="149"/>
      <c r="AC523" s="150"/>
      <c r="AD523" s="76"/>
      <c r="AE523" s="76"/>
      <c r="AF523" s="128"/>
    </row>
    <row r="524" spans="1:32" outlineLevel="1" x14ac:dyDescent="0.25">
      <c r="A524" s="4" t="s">
        <v>624</v>
      </c>
      <c r="B524" s="75" t="s">
        <v>47</v>
      </c>
      <c r="C524" s="25"/>
      <c r="D524" s="92"/>
      <c r="E524" s="110"/>
      <c r="F524" s="93">
        <f>D524*E524</f>
        <v>0</v>
      </c>
      <c r="G524" s="74">
        <f t="shared" si="261"/>
        <v>0</v>
      </c>
      <c r="H524" s="95">
        <f t="shared" si="256"/>
        <v>0</v>
      </c>
      <c r="I524" s="112"/>
      <c r="J524" s="57"/>
      <c r="K524" s="57"/>
      <c r="L524" s="57"/>
      <c r="M524" s="57"/>
      <c r="N524" s="57"/>
      <c r="O524" s="57"/>
      <c r="P524" s="68"/>
      <c r="Q524" s="58"/>
      <c r="R524" s="170">
        <f>P524*Q524</f>
        <v>0</v>
      </c>
      <c r="S524" s="89">
        <f t="shared" si="286"/>
        <v>0</v>
      </c>
      <c r="T524" s="216">
        <f t="shared" si="287"/>
        <v>0</v>
      </c>
      <c r="U524" s="147"/>
      <c r="V524" s="148"/>
      <c r="W524" s="148"/>
      <c r="X524" s="148"/>
      <c r="Y524" s="148"/>
      <c r="Z524" s="148"/>
      <c r="AA524" s="148"/>
      <c r="AB524" s="149"/>
      <c r="AC524" s="150"/>
      <c r="AD524" s="76"/>
      <c r="AE524" s="76"/>
      <c r="AF524" s="128"/>
    </row>
    <row r="525" spans="1:32" s="3" customFormat="1" ht="15.75" x14ac:dyDescent="0.25">
      <c r="A525" s="7" t="s">
        <v>625</v>
      </c>
      <c r="B525" s="13" t="s">
        <v>248</v>
      </c>
      <c r="C525" s="23"/>
      <c r="D525" s="24"/>
      <c r="E525" s="17"/>
      <c r="F525" s="82">
        <f>SUM(F526:F540)</f>
        <v>28375</v>
      </c>
      <c r="G525" s="89">
        <f t="shared" si="261"/>
        <v>0</v>
      </c>
      <c r="H525" s="18">
        <f t="shared" si="256"/>
        <v>28375</v>
      </c>
      <c r="I525" s="54">
        <f t="shared" ref="I525:Q525" si="292">SUM(I526:I540)</f>
        <v>0</v>
      </c>
      <c r="J525" s="55">
        <f t="shared" si="292"/>
        <v>28375</v>
      </c>
      <c r="K525" s="55">
        <f t="shared" si="292"/>
        <v>0</v>
      </c>
      <c r="L525" s="55">
        <f t="shared" si="292"/>
        <v>0</v>
      </c>
      <c r="M525" s="55">
        <f t="shared" si="292"/>
        <v>0</v>
      </c>
      <c r="N525" s="55">
        <f t="shared" si="292"/>
        <v>0</v>
      </c>
      <c r="O525" s="55">
        <f t="shared" si="292"/>
        <v>0</v>
      </c>
      <c r="P525" s="55">
        <f t="shared" si="292"/>
        <v>0</v>
      </c>
      <c r="Q525" s="56">
        <f t="shared" si="292"/>
        <v>0</v>
      </c>
      <c r="R525" s="169">
        <f>SUM(R526:R540)</f>
        <v>231</v>
      </c>
      <c r="S525" s="89">
        <f t="shared" si="286"/>
        <v>-231</v>
      </c>
      <c r="T525" s="216">
        <f t="shared" si="287"/>
        <v>0</v>
      </c>
      <c r="U525" s="144">
        <f>SUM(U526:U540)</f>
        <v>0</v>
      </c>
      <c r="V525" s="145">
        <f t="shared" ref="V525:AC525" si="293">SUM(V526:V540)</f>
        <v>0</v>
      </c>
      <c r="W525" s="145">
        <f t="shared" si="293"/>
        <v>0</v>
      </c>
      <c r="X525" s="145">
        <f t="shared" si="293"/>
        <v>0</v>
      </c>
      <c r="Y525" s="145">
        <f t="shared" si="293"/>
        <v>0</v>
      </c>
      <c r="Z525" s="145">
        <f t="shared" si="293"/>
        <v>0</v>
      </c>
      <c r="AA525" s="145">
        <f t="shared" si="293"/>
        <v>0</v>
      </c>
      <c r="AB525" s="145">
        <f t="shared" si="293"/>
        <v>0</v>
      </c>
      <c r="AC525" s="146">
        <f t="shared" si="293"/>
        <v>0</v>
      </c>
      <c r="AD525" s="33">
        <f>86870*0.65</f>
        <v>56465.5</v>
      </c>
      <c r="AE525" s="33">
        <f>8934.69+7218.67+7910.27+8454.71+7026.01+1953.11+4674.12+2544.65+4306.4+1823.69+6081.28</f>
        <v>60927.600000000006</v>
      </c>
      <c r="AF525" s="127">
        <f>AE525*100/AD525</f>
        <v>107.90234745109848</v>
      </c>
    </row>
    <row r="526" spans="1:32" outlineLevel="1" x14ac:dyDescent="0.25">
      <c r="A526" s="4" t="s">
        <v>626</v>
      </c>
      <c r="B526" s="75" t="s">
        <v>750</v>
      </c>
      <c r="C526" s="25"/>
      <c r="D526" s="92">
        <v>0</v>
      </c>
      <c r="E526" s="110">
        <v>65</v>
      </c>
      <c r="F526" s="93">
        <f t="shared" ref="F526:F540" si="294">D526*E526</f>
        <v>0</v>
      </c>
      <c r="G526" s="74">
        <f t="shared" si="261"/>
        <v>0</v>
      </c>
      <c r="H526" s="95">
        <f t="shared" si="256"/>
        <v>0</v>
      </c>
      <c r="I526" s="112"/>
      <c r="J526" s="57">
        <f>F526</f>
        <v>0</v>
      </c>
      <c r="K526" s="57"/>
      <c r="L526" s="57"/>
      <c r="M526" s="57"/>
      <c r="N526" s="57"/>
      <c r="O526" s="57"/>
      <c r="P526" s="68"/>
      <c r="Q526" s="58"/>
      <c r="R526" s="170">
        <f t="shared" ref="R526:R539" si="295">P526*Q526</f>
        <v>0</v>
      </c>
      <c r="S526" s="89">
        <f t="shared" si="286"/>
        <v>0</v>
      </c>
      <c r="T526" s="216">
        <f t="shared" si="287"/>
        <v>0</v>
      </c>
      <c r="U526" s="147"/>
      <c r="V526" s="148">
        <f t="shared" ref="V526:V539" si="296">O526</f>
        <v>0</v>
      </c>
      <c r="W526" s="148"/>
      <c r="X526" s="148"/>
      <c r="Y526" s="148"/>
      <c r="Z526" s="148"/>
      <c r="AA526" s="148"/>
      <c r="AB526" s="149"/>
      <c r="AC526" s="150"/>
      <c r="AD526" s="76"/>
      <c r="AE526" s="76"/>
      <c r="AF526" s="128"/>
    </row>
    <row r="527" spans="1:32" outlineLevel="1" x14ac:dyDescent="0.25">
      <c r="A527" s="4" t="s">
        <v>627</v>
      </c>
      <c r="B527" s="75" t="s">
        <v>752</v>
      </c>
      <c r="C527" s="25"/>
      <c r="D527" s="92">
        <v>25</v>
      </c>
      <c r="E527" s="110">
        <v>65</v>
      </c>
      <c r="F527" s="93">
        <f t="shared" si="294"/>
        <v>1625</v>
      </c>
      <c r="G527" s="74">
        <f t="shared" si="261"/>
        <v>0</v>
      </c>
      <c r="H527" s="95">
        <f t="shared" si="256"/>
        <v>1625</v>
      </c>
      <c r="I527" s="112"/>
      <c r="J527" s="57">
        <f>F527</f>
        <v>1625</v>
      </c>
      <c r="K527" s="57"/>
      <c r="L527" s="57"/>
      <c r="M527" s="57"/>
      <c r="N527" s="57"/>
      <c r="O527" s="57"/>
      <c r="P527" s="68"/>
      <c r="Q527" s="58"/>
      <c r="R527" s="170">
        <f t="shared" si="295"/>
        <v>0</v>
      </c>
      <c r="S527" s="89">
        <f t="shared" si="286"/>
        <v>0</v>
      </c>
      <c r="T527" s="216">
        <f t="shared" si="287"/>
        <v>0</v>
      </c>
      <c r="U527" s="147"/>
      <c r="V527" s="148">
        <f t="shared" si="296"/>
        <v>0</v>
      </c>
      <c r="W527" s="148"/>
      <c r="X527" s="148"/>
      <c r="Y527" s="148"/>
      <c r="Z527" s="148"/>
      <c r="AA527" s="148"/>
      <c r="AB527" s="149"/>
      <c r="AC527" s="150"/>
      <c r="AD527" s="76"/>
      <c r="AE527" s="76"/>
      <c r="AF527" s="128"/>
    </row>
    <row r="528" spans="1:32" outlineLevel="1" x14ac:dyDescent="0.25">
      <c r="A528" s="4" t="s">
        <v>628</v>
      </c>
      <c r="B528" s="75" t="s">
        <v>753</v>
      </c>
      <c r="C528" s="25"/>
      <c r="D528" s="92">
        <v>0</v>
      </c>
      <c r="E528" s="110">
        <v>65</v>
      </c>
      <c r="F528" s="93">
        <f t="shared" si="294"/>
        <v>0</v>
      </c>
      <c r="G528" s="74">
        <f t="shared" si="261"/>
        <v>0</v>
      </c>
      <c r="H528" s="95">
        <f t="shared" ref="H528:H580" si="297">SUM(I528:Q528)</f>
        <v>0</v>
      </c>
      <c r="I528" s="112"/>
      <c r="J528" s="57">
        <f>F528</f>
        <v>0</v>
      </c>
      <c r="K528" s="57"/>
      <c r="L528" s="57"/>
      <c r="M528" s="57"/>
      <c r="N528" s="57"/>
      <c r="O528" s="57"/>
      <c r="P528" s="68"/>
      <c r="Q528" s="58"/>
      <c r="R528" s="170">
        <f t="shared" si="295"/>
        <v>0</v>
      </c>
      <c r="S528" s="89">
        <f t="shared" si="286"/>
        <v>0</v>
      </c>
      <c r="T528" s="216">
        <f t="shared" si="287"/>
        <v>0</v>
      </c>
      <c r="U528" s="147"/>
      <c r="V528" s="148">
        <f t="shared" si="296"/>
        <v>0</v>
      </c>
      <c r="W528" s="148"/>
      <c r="X528" s="148"/>
      <c r="Y528" s="148"/>
      <c r="Z528" s="148"/>
      <c r="AA528" s="148"/>
      <c r="AB528" s="149"/>
      <c r="AC528" s="150"/>
      <c r="AD528" s="76"/>
      <c r="AE528" s="76"/>
      <c r="AF528" s="128"/>
    </row>
    <row r="529" spans="1:32" outlineLevel="1" x14ac:dyDescent="0.25">
      <c r="A529" s="4" t="s">
        <v>667</v>
      </c>
      <c r="B529" s="75" t="s">
        <v>751</v>
      </c>
      <c r="C529" s="25"/>
      <c r="D529" s="92">
        <v>0</v>
      </c>
      <c r="E529" s="110">
        <v>502</v>
      </c>
      <c r="F529" s="93">
        <f t="shared" si="294"/>
        <v>0</v>
      </c>
      <c r="G529" s="74">
        <f t="shared" si="261"/>
        <v>0</v>
      </c>
      <c r="H529" s="95">
        <f t="shared" si="297"/>
        <v>0</v>
      </c>
      <c r="I529" s="112"/>
      <c r="J529" s="57">
        <f t="shared" ref="J529:J539" si="298">F529</f>
        <v>0</v>
      </c>
      <c r="K529" s="57"/>
      <c r="L529" s="57"/>
      <c r="M529" s="57"/>
      <c r="N529" s="57"/>
      <c r="O529" s="57"/>
      <c r="P529" s="68"/>
      <c r="Q529" s="58"/>
      <c r="R529" s="170">
        <f t="shared" si="295"/>
        <v>0</v>
      </c>
      <c r="S529" s="89">
        <f t="shared" si="286"/>
        <v>0</v>
      </c>
      <c r="T529" s="216">
        <f t="shared" si="287"/>
        <v>0</v>
      </c>
      <c r="U529" s="147"/>
      <c r="V529" s="148">
        <f t="shared" si="296"/>
        <v>0</v>
      </c>
      <c r="W529" s="148"/>
      <c r="X529" s="148"/>
      <c r="Y529" s="148"/>
      <c r="Z529" s="148"/>
      <c r="AA529" s="148"/>
      <c r="AB529" s="149"/>
      <c r="AC529" s="150"/>
      <c r="AD529" s="76"/>
      <c r="AE529" s="76"/>
      <c r="AF529" s="128"/>
    </row>
    <row r="530" spans="1:32" outlineLevel="1" x14ac:dyDescent="0.25">
      <c r="A530" s="4" t="s">
        <v>668</v>
      </c>
      <c r="B530" s="75" t="s">
        <v>754</v>
      </c>
      <c r="C530" s="25"/>
      <c r="D530" s="92">
        <v>25</v>
      </c>
      <c r="E530" s="110">
        <v>450</v>
      </c>
      <c r="F530" s="93">
        <f t="shared" si="294"/>
        <v>11250</v>
      </c>
      <c r="G530" s="74">
        <f t="shared" si="261"/>
        <v>0</v>
      </c>
      <c r="H530" s="95">
        <f t="shared" si="297"/>
        <v>11250</v>
      </c>
      <c r="I530" s="112"/>
      <c r="J530" s="57">
        <f t="shared" si="298"/>
        <v>11250</v>
      </c>
      <c r="K530" s="57"/>
      <c r="L530" s="57"/>
      <c r="M530" s="57"/>
      <c r="N530" s="57"/>
      <c r="O530" s="57"/>
      <c r="P530" s="68"/>
      <c r="Q530" s="58"/>
      <c r="R530" s="170">
        <f t="shared" si="295"/>
        <v>0</v>
      </c>
      <c r="S530" s="89">
        <f t="shared" si="286"/>
        <v>0</v>
      </c>
      <c r="T530" s="216">
        <f t="shared" si="287"/>
        <v>0</v>
      </c>
      <c r="U530" s="147"/>
      <c r="V530" s="148">
        <f t="shared" si="296"/>
        <v>0</v>
      </c>
      <c r="W530" s="148"/>
      <c r="X530" s="148"/>
      <c r="Y530" s="148"/>
      <c r="Z530" s="148"/>
      <c r="AA530" s="148"/>
      <c r="AB530" s="149"/>
      <c r="AC530" s="150"/>
      <c r="AD530" s="76"/>
      <c r="AE530" s="76"/>
      <c r="AF530" s="128"/>
    </row>
    <row r="531" spans="1:32" outlineLevel="1" x14ac:dyDescent="0.25">
      <c r="A531" s="4" t="s">
        <v>669</v>
      </c>
      <c r="B531" s="75" t="s">
        <v>812</v>
      </c>
      <c r="C531" s="25"/>
      <c r="D531" s="92">
        <v>0</v>
      </c>
      <c r="E531" s="110">
        <v>502</v>
      </c>
      <c r="F531" s="93">
        <f t="shared" si="294"/>
        <v>0</v>
      </c>
      <c r="G531" s="74">
        <f t="shared" si="261"/>
        <v>0</v>
      </c>
      <c r="H531" s="95">
        <f t="shared" si="297"/>
        <v>0</v>
      </c>
      <c r="I531" s="112"/>
      <c r="J531" s="57">
        <f t="shared" si="298"/>
        <v>0</v>
      </c>
      <c r="K531" s="57"/>
      <c r="L531" s="57"/>
      <c r="M531" s="57"/>
      <c r="N531" s="57"/>
      <c r="O531" s="57"/>
      <c r="P531" s="68"/>
      <c r="Q531" s="58"/>
      <c r="R531" s="170">
        <f t="shared" si="295"/>
        <v>0</v>
      </c>
      <c r="S531" s="89">
        <f t="shared" si="286"/>
        <v>0</v>
      </c>
      <c r="T531" s="216">
        <f t="shared" si="287"/>
        <v>0</v>
      </c>
      <c r="U531" s="147"/>
      <c r="V531" s="148">
        <f t="shared" si="296"/>
        <v>0</v>
      </c>
      <c r="W531" s="148"/>
      <c r="X531" s="148"/>
      <c r="Y531" s="148"/>
      <c r="Z531" s="148"/>
      <c r="AA531" s="148"/>
      <c r="AB531" s="149"/>
      <c r="AC531" s="150"/>
      <c r="AD531" s="76"/>
      <c r="AE531" s="76"/>
      <c r="AF531" s="128"/>
    </row>
    <row r="532" spans="1:32" outlineLevel="1" x14ac:dyDescent="0.25">
      <c r="A532" s="4" t="s">
        <v>670</v>
      </c>
      <c r="B532" s="75" t="s">
        <v>755</v>
      </c>
      <c r="C532" s="25"/>
      <c r="D532" s="92">
        <v>20</v>
      </c>
      <c r="E532" s="110">
        <v>250</v>
      </c>
      <c r="F532" s="93">
        <f t="shared" si="294"/>
        <v>5000</v>
      </c>
      <c r="G532" s="74">
        <f t="shared" si="261"/>
        <v>0</v>
      </c>
      <c r="H532" s="95">
        <f t="shared" si="297"/>
        <v>5000</v>
      </c>
      <c r="I532" s="112"/>
      <c r="J532" s="57">
        <f t="shared" si="298"/>
        <v>5000</v>
      </c>
      <c r="K532" s="57"/>
      <c r="L532" s="57"/>
      <c r="M532" s="57"/>
      <c r="N532" s="57"/>
      <c r="O532" s="57"/>
      <c r="P532" s="68"/>
      <c r="Q532" s="58"/>
      <c r="R532" s="170">
        <f t="shared" si="295"/>
        <v>0</v>
      </c>
      <c r="S532" s="89">
        <f t="shared" si="286"/>
        <v>0</v>
      </c>
      <c r="T532" s="216">
        <f t="shared" si="287"/>
        <v>0</v>
      </c>
      <c r="U532" s="147"/>
      <c r="V532" s="148">
        <f t="shared" si="296"/>
        <v>0</v>
      </c>
      <c r="W532" s="148"/>
      <c r="X532" s="148"/>
      <c r="Y532" s="148"/>
      <c r="Z532" s="148"/>
      <c r="AA532" s="148"/>
      <c r="AB532" s="149"/>
      <c r="AC532" s="150"/>
      <c r="AD532" s="76"/>
      <c r="AE532" s="76"/>
      <c r="AF532" s="128"/>
    </row>
    <row r="533" spans="1:32" outlineLevel="1" x14ac:dyDescent="0.25">
      <c r="A533" s="4" t="s">
        <v>671</v>
      </c>
      <c r="B533" s="75" t="s">
        <v>756</v>
      </c>
      <c r="C533" s="25"/>
      <c r="D533" s="92">
        <v>20</v>
      </c>
      <c r="E533" s="110">
        <v>250</v>
      </c>
      <c r="F533" s="93">
        <f t="shared" si="294"/>
        <v>5000</v>
      </c>
      <c r="G533" s="74">
        <f t="shared" si="261"/>
        <v>0</v>
      </c>
      <c r="H533" s="95">
        <f t="shared" si="297"/>
        <v>5000</v>
      </c>
      <c r="I533" s="112"/>
      <c r="J533" s="57">
        <f t="shared" si="298"/>
        <v>5000</v>
      </c>
      <c r="K533" s="57"/>
      <c r="L533" s="57"/>
      <c r="M533" s="57"/>
      <c r="N533" s="57"/>
      <c r="O533" s="57"/>
      <c r="P533" s="68"/>
      <c r="Q533" s="58"/>
      <c r="R533" s="170">
        <f t="shared" si="295"/>
        <v>0</v>
      </c>
      <c r="S533" s="89">
        <f t="shared" si="286"/>
        <v>0</v>
      </c>
      <c r="T533" s="216">
        <f t="shared" si="287"/>
        <v>0</v>
      </c>
      <c r="U533" s="147"/>
      <c r="V533" s="148">
        <f t="shared" si="296"/>
        <v>0</v>
      </c>
      <c r="W533" s="148"/>
      <c r="X533" s="148"/>
      <c r="Y533" s="148"/>
      <c r="Z533" s="148"/>
      <c r="AA533" s="148"/>
      <c r="AB533" s="149"/>
      <c r="AC533" s="150"/>
      <c r="AD533" s="76"/>
      <c r="AE533" s="76"/>
      <c r="AF533" s="128"/>
    </row>
    <row r="534" spans="1:32" outlineLevel="1" x14ac:dyDescent="0.25">
      <c r="A534" s="4" t="s">
        <v>672</v>
      </c>
      <c r="B534" s="75" t="s">
        <v>759</v>
      </c>
      <c r="C534" s="25"/>
      <c r="D534" s="92">
        <v>10</v>
      </c>
      <c r="E534" s="110">
        <v>275</v>
      </c>
      <c r="F534" s="93">
        <f t="shared" si="294"/>
        <v>2750</v>
      </c>
      <c r="G534" s="74">
        <f t="shared" ref="G534:G577" si="299">H534-F534</f>
        <v>0</v>
      </c>
      <c r="H534" s="95">
        <f t="shared" si="297"/>
        <v>2750</v>
      </c>
      <c r="I534" s="112"/>
      <c r="J534" s="57">
        <f t="shared" si="298"/>
        <v>2750</v>
      </c>
      <c r="K534" s="57"/>
      <c r="L534" s="57"/>
      <c r="M534" s="57"/>
      <c r="N534" s="57"/>
      <c r="O534" s="57"/>
      <c r="P534" s="68"/>
      <c r="Q534" s="58"/>
      <c r="R534" s="170">
        <f t="shared" si="295"/>
        <v>0</v>
      </c>
      <c r="S534" s="89">
        <f t="shared" si="286"/>
        <v>0</v>
      </c>
      <c r="T534" s="216">
        <f t="shared" si="287"/>
        <v>0</v>
      </c>
      <c r="U534" s="147"/>
      <c r="V534" s="148">
        <f t="shared" si="296"/>
        <v>0</v>
      </c>
      <c r="W534" s="148"/>
      <c r="X534" s="148"/>
      <c r="Y534" s="148"/>
      <c r="Z534" s="148"/>
      <c r="AA534" s="148"/>
      <c r="AB534" s="149"/>
      <c r="AC534" s="150"/>
      <c r="AD534" s="76"/>
      <c r="AE534" s="76"/>
      <c r="AF534" s="128"/>
    </row>
    <row r="535" spans="1:32" outlineLevel="1" x14ac:dyDescent="0.25">
      <c r="A535" s="4" t="s">
        <v>673</v>
      </c>
      <c r="B535" s="75" t="s">
        <v>757</v>
      </c>
      <c r="C535" s="25"/>
      <c r="D535" s="92">
        <v>0</v>
      </c>
      <c r="E535" s="110">
        <v>292</v>
      </c>
      <c r="F535" s="93">
        <f t="shared" si="294"/>
        <v>0</v>
      </c>
      <c r="G535" s="74">
        <f t="shared" si="299"/>
        <v>0</v>
      </c>
      <c r="H535" s="95">
        <f t="shared" si="297"/>
        <v>0</v>
      </c>
      <c r="I535" s="112"/>
      <c r="J535" s="57">
        <f t="shared" si="298"/>
        <v>0</v>
      </c>
      <c r="K535" s="57"/>
      <c r="L535" s="57"/>
      <c r="M535" s="57"/>
      <c r="N535" s="57"/>
      <c r="O535" s="57"/>
      <c r="P535" s="68"/>
      <c r="Q535" s="58"/>
      <c r="R535" s="170">
        <f t="shared" si="295"/>
        <v>0</v>
      </c>
      <c r="S535" s="89">
        <f t="shared" si="286"/>
        <v>0</v>
      </c>
      <c r="T535" s="216">
        <f t="shared" si="287"/>
        <v>0</v>
      </c>
      <c r="U535" s="147"/>
      <c r="V535" s="148">
        <f t="shared" si="296"/>
        <v>0</v>
      </c>
      <c r="W535" s="148"/>
      <c r="X535" s="148"/>
      <c r="Y535" s="148"/>
      <c r="Z535" s="148"/>
      <c r="AA535" s="148"/>
      <c r="AB535" s="149"/>
      <c r="AC535" s="150"/>
      <c r="AD535" s="76"/>
      <c r="AE535" s="76"/>
      <c r="AF535" s="128"/>
    </row>
    <row r="536" spans="1:32" outlineLevel="1" x14ac:dyDescent="0.25">
      <c r="A536" s="4" t="s">
        <v>674</v>
      </c>
      <c r="B536" s="75" t="s">
        <v>758</v>
      </c>
      <c r="C536" s="25"/>
      <c r="D536" s="92">
        <v>0</v>
      </c>
      <c r="E536" s="110">
        <v>292</v>
      </c>
      <c r="F536" s="93">
        <f t="shared" si="294"/>
        <v>0</v>
      </c>
      <c r="G536" s="74">
        <f t="shared" si="299"/>
        <v>0</v>
      </c>
      <c r="H536" s="95">
        <f t="shared" si="297"/>
        <v>0</v>
      </c>
      <c r="I536" s="112"/>
      <c r="J536" s="57">
        <f t="shared" si="298"/>
        <v>0</v>
      </c>
      <c r="K536" s="57"/>
      <c r="L536" s="57"/>
      <c r="M536" s="57"/>
      <c r="N536" s="57"/>
      <c r="O536" s="57"/>
      <c r="P536" s="68"/>
      <c r="Q536" s="58"/>
      <c r="R536" s="170">
        <f t="shared" si="295"/>
        <v>0</v>
      </c>
      <c r="S536" s="89">
        <f t="shared" si="286"/>
        <v>0</v>
      </c>
      <c r="T536" s="216">
        <f t="shared" si="287"/>
        <v>0</v>
      </c>
      <c r="U536" s="147"/>
      <c r="V536" s="148">
        <f t="shared" si="296"/>
        <v>0</v>
      </c>
      <c r="W536" s="148"/>
      <c r="X536" s="148"/>
      <c r="Y536" s="148"/>
      <c r="Z536" s="148"/>
      <c r="AA536" s="148"/>
      <c r="AB536" s="149"/>
      <c r="AC536" s="150"/>
      <c r="AD536" s="76"/>
      <c r="AE536" s="76"/>
      <c r="AF536" s="128"/>
    </row>
    <row r="537" spans="1:32" outlineLevel="1" x14ac:dyDescent="0.25">
      <c r="A537" s="4" t="s">
        <v>675</v>
      </c>
      <c r="B537" s="75" t="s">
        <v>760</v>
      </c>
      <c r="C537" s="25"/>
      <c r="D537" s="92">
        <v>10</v>
      </c>
      <c r="E537" s="110">
        <v>275</v>
      </c>
      <c r="F537" s="93">
        <f t="shared" si="294"/>
        <v>2750</v>
      </c>
      <c r="G537" s="74">
        <f t="shared" si="299"/>
        <v>0</v>
      </c>
      <c r="H537" s="95">
        <f t="shared" si="297"/>
        <v>2750</v>
      </c>
      <c r="I537" s="112"/>
      <c r="J537" s="57">
        <f t="shared" si="298"/>
        <v>2750</v>
      </c>
      <c r="K537" s="57"/>
      <c r="L537" s="57"/>
      <c r="M537" s="57"/>
      <c r="N537" s="57"/>
      <c r="O537" s="57"/>
      <c r="P537" s="68"/>
      <c r="Q537" s="58"/>
      <c r="R537" s="170">
        <f t="shared" si="295"/>
        <v>0</v>
      </c>
      <c r="S537" s="89">
        <f t="shared" si="286"/>
        <v>0</v>
      </c>
      <c r="T537" s="216">
        <f t="shared" si="287"/>
        <v>0</v>
      </c>
      <c r="U537" s="147"/>
      <c r="V537" s="148">
        <f t="shared" si="296"/>
        <v>0</v>
      </c>
      <c r="W537" s="148"/>
      <c r="X537" s="148"/>
      <c r="Y537" s="148"/>
      <c r="Z537" s="148"/>
      <c r="AA537" s="148"/>
      <c r="AB537" s="149"/>
      <c r="AC537" s="150"/>
      <c r="AD537" s="76"/>
      <c r="AE537" s="76"/>
      <c r="AF537" s="128"/>
    </row>
    <row r="538" spans="1:32" outlineLevel="1" x14ac:dyDescent="0.25">
      <c r="A538" s="4" t="s">
        <v>676</v>
      </c>
      <c r="B538" s="75" t="s">
        <v>761</v>
      </c>
      <c r="C538" s="25"/>
      <c r="D538" s="92">
        <v>0</v>
      </c>
      <c r="E538" s="110">
        <v>317</v>
      </c>
      <c r="F538" s="93">
        <f t="shared" si="294"/>
        <v>0</v>
      </c>
      <c r="G538" s="74">
        <f t="shared" si="299"/>
        <v>0</v>
      </c>
      <c r="H538" s="95">
        <f t="shared" si="297"/>
        <v>0</v>
      </c>
      <c r="I538" s="112"/>
      <c r="J538" s="57">
        <f t="shared" si="298"/>
        <v>0</v>
      </c>
      <c r="K538" s="57"/>
      <c r="L538" s="57"/>
      <c r="M538" s="57"/>
      <c r="N538" s="57"/>
      <c r="O538" s="57"/>
      <c r="P538" s="68"/>
      <c r="Q538" s="58"/>
      <c r="R538" s="170">
        <f t="shared" si="295"/>
        <v>0</v>
      </c>
      <c r="S538" s="89">
        <f t="shared" si="286"/>
        <v>0</v>
      </c>
      <c r="T538" s="216">
        <f t="shared" si="287"/>
        <v>0</v>
      </c>
      <c r="U538" s="147"/>
      <c r="V538" s="148">
        <f t="shared" si="296"/>
        <v>0</v>
      </c>
      <c r="W538" s="148"/>
      <c r="X538" s="148"/>
      <c r="Y538" s="148"/>
      <c r="Z538" s="148"/>
      <c r="AA538" s="148"/>
      <c r="AB538" s="149"/>
      <c r="AC538" s="150"/>
      <c r="AD538" s="76"/>
      <c r="AE538" s="76"/>
      <c r="AF538" s="128"/>
    </row>
    <row r="539" spans="1:32" outlineLevel="1" x14ac:dyDescent="0.25">
      <c r="A539" s="4" t="s">
        <v>677</v>
      </c>
      <c r="B539" s="75" t="s">
        <v>762</v>
      </c>
      <c r="C539" s="25"/>
      <c r="D539" s="92">
        <v>0</v>
      </c>
      <c r="E539" s="110">
        <v>317</v>
      </c>
      <c r="F539" s="93">
        <f t="shared" si="294"/>
        <v>0</v>
      </c>
      <c r="G539" s="74">
        <f t="shared" si="299"/>
        <v>0</v>
      </c>
      <c r="H539" s="95">
        <f t="shared" si="297"/>
        <v>0</v>
      </c>
      <c r="I539" s="112"/>
      <c r="J539" s="57">
        <f t="shared" si="298"/>
        <v>0</v>
      </c>
      <c r="K539" s="57"/>
      <c r="L539" s="57"/>
      <c r="M539" s="57"/>
      <c r="N539" s="57"/>
      <c r="O539" s="57"/>
      <c r="P539" s="68"/>
      <c r="Q539" s="58"/>
      <c r="R539" s="170">
        <f t="shared" si="295"/>
        <v>0</v>
      </c>
      <c r="S539" s="89">
        <f t="shared" si="286"/>
        <v>0</v>
      </c>
      <c r="T539" s="216">
        <f t="shared" si="287"/>
        <v>0</v>
      </c>
      <c r="U539" s="147"/>
      <c r="V539" s="148">
        <f t="shared" si="296"/>
        <v>0</v>
      </c>
      <c r="W539" s="148"/>
      <c r="X539" s="148"/>
      <c r="Y539" s="148"/>
      <c r="Z539" s="148"/>
      <c r="AA539" s="148"/>
      <c r="AB539" s="149"/>
      <c r="AC539" s="150"/>
      <c r="AD539" s="76"/>
      <c r="AE539" s="76"/>
      <c r="AF539" s="128"/>
    </row>
    <row r="540" spans="1:32" outlineLevel="1" x14ac:dyDescent="0.25">
      <c r="A540" s="4" t="s">
        <v>678</v>
      </c>
      <c r="B540" s="75" t="s">
        <v>47</v>
      </c>
      <c r="C540" s="25"/>
      <c r="D540" s="92"/>
      <c r="E540" s="110"/>
      <c r="F540" s="93">
        <f t="shared" si="294"/>
        <v>0</v>
      </c>
      <c r="G540" s="74">
        <f t="shared" si="299"/>
        <v>0</v>
      </c>
      <c r="H540" s="95">
        <f t="shared" si="297"/>
        <v>0</v>
      </c>
      <c r="I540" s="112"/>
      <c r="J540" s="57"/>
      <c r="K540" s="57"/>
      <c r="L540" s="57"/>
      <c r="M540" s="57"/>
      <c r="N540" s="57"/>
      <c r="O540" s="57"/>
      <c r="P540" s="68"/>
      <c r="Q540" s="58"/>
      <c r="R540" s="170">
        <v>231</v>
      </c>
      <c r="S540" s="89">
        <f t="shared" si="286"/>
        <v>-231</v>
      </c>
      <c r="T540" s="216">
        <f t="shared" si="287"/>
        <v>0</v>
      </c>
      <c r="U540" s="147"/>
      <c r="V540" s="148"/>
      <c r="W540" s="148"/>
      <c r="X540" s="148"/>
      <c r="Y540" s="148"/>
      <c r="Z540" s="148"/>
      <c r="AA540" s="148"/>
      <c r="AB540" s="149"/>
      <c r="AC540" s="150"/>
      <c r="AD540" s="76"/>
      <c r="AE540" s="76"/>
      <c r="AF540" s="128"/>
    </row>
    <row r="541" spans="1:32" s="3" customFormat="1" ht="15.75" x14ac:dyDescent="0.25">
      <c r="A541" s="7" t="s">
        <v>629</v>
      </c>
      <c r="B541" s="13" t="s">
        <v>666</v>
      </c>
      <c r="C541" s="23"/>
      <c r="D541" s="24"/>
      <c r="E541" s="17"/>
      <c r="F541" s="82">
        <f>SUM(F542:F574)</f>
        <v>51750</v>
      </c>
      <c r="G541" s="89">
        <f t="shared" si="299"/>
        <v>0</v>
      </c>
      <c r="H541" s="18">
        <f t="shared" si="297"/>
        <v>51750</v>
      </c>
      <c r="I541" s="54">
        <f t="shared" ref="I541:Q541" si="300">SUM(I542:I574)</f>
        <v>1000</v>
      </c>
      <c r="J541" s="55">
        <f t="shared" si="300"/>
        <v>50750</v>
      </c>
      <c r="K541" s="55">
        <f t="shared" si="300"/>
        <v>0</v>
      </c>
      <c r="L541" s="55">
        <f t="shared" si="300"/>
        <v>0</v>
      </c>
      <c r="M541" s="55">
        <f t="shared" si="300"/>
        <v>0</v>
      </c>
      <c r="N541" s="55">
        <f t="shared" si="300"/>
        <v>0</v>
      </c>
      <c r="O541" s="55">
        <f t="shared" si="300"/>
        <v>0</v>
      </c>
      <c r="P541" s="55">
        <f t="shared" si="300"/>
        <v>0</v>
      </c>
      <c r="Q541" s="56">
        <f t="shared" si="300"/>
        <v>0</v>
      </c>
      <c r="R541" s="169">
        <f>SUM(R542:R574)</f>
        <v>12371.31</v>
      </c>
      <c r="S541" s="89">
        <f t="shared" si="286"/>
        <v>-12371.31</v>
      </c>
      <c r="T541" s="216">
        <f t="shared" si="287"/>
        <v>0</v>
      </c>
      <c r="U541" s="144">
        <f>SUM(U542:U574)</f>
        <v>0</v>
      </c>
      <c r="V541" s="145">
        <f t="shared" ref="V541:AC541" si="301">SUM(V542:V574)</f>
        <v>0</v>
      </c>
      <c r="W541" s="145">
        <f t="shared" si="301"/>
        <v>0</v>
      </c>
      <c r="X541" s="145">
        <f t="shared" si="301"/>
        <v>0</v>
      </c>
      <c r="Y541" s="145">
        <f t="shared" si="301"/>
        <v>0</v>
      </c>
      <c r="Z541" s="145">
        <f t="shared" si="301"/>
        <v>0</v>
      </c>
      <c r="AA541" s="145">
        <f t="shared" si="301"/>
        <v>0</v>
      </c>
      <c r="AB541" s="145">
        <f t="shared" si="301"/>
        <v>0</v>
      </c>
      <c r="AC541" s="146">
        <f t="shared" si="301"/>
        <v>0</v>
      </c>
      <c r="AD541" s="33">
        <f>86870*0.35</f>
        <v>30404.499999999996</v>
      </c>
      <c r="AE541" s="33">
        <f>412.84+1296.01+863.87+2149.2+1250.51+1658.31+462.86+1130.39+884.7+1802.09+464.8+1369.78+609.88+1245.94+1894.12+4674.36+683.4+959.8+626.88+1495.96+843.86+1911.28+469.4+992.86+1088.2+1344.35+449.38+1095.16+314.5</f>
        <v>34444.69</v>
      </c>
      <c r="AF541" s="127">
        <f>AE541*100/AD541</f>
        <v>113.28813169103259</v>
      </c>
    </row>
    <row r="542" spans="1:32" outlineLevel="1" x14ac:dyDescent="0.25">
      <c r="A542" s="4" t="s">
        <v>630</v>
      </c>
      <c r="B542" s="75" t="s">
        <v>804</v>
      </c>
      <c r="C542" s="25"/>
      <c r="D542" s="92">
        <v>25</v>
      </c>
      <c r="E542" s="110">
        <v>70</v>
      </c>
      <c r="F542" s="93">
        <f t="shared" ref="F542:F574" si="302">D542*E542</f>
        <v>1750</v>
      </c>
      <c r="G542" s="74">
        <f t="shared" si="299"/>
        <v>0</v>
      </c>
      <c r="H542" s="95">
        <f t="shared" si="297"/>
        <v>1750</v>
      </c>
      <c r="I542" s="112"/>
      <c r="J542" s="57">
        <f>F542</f>
        <v>1750</v>
      </c>
      <c r="K542" s="57"/>
      <c r="L542" s="57"/>
      <c r="M542" s="57"/>
      <c r="N542" s="57"/>
      <c r="O542" s="57"/>
      <c r="P542" s="68"/>
      <c r="Q542" s="58"/>
      <c r="R542" s="170">
        <v>1348.95</v>
      </c>
      <c r="S542" s="89">
        <f t="shared" si="286"/>
        <v>-1348.95</v>
      </c>
      <c r="T542" s="216">
        <f t="shared" si="287"/>
        <v>0</v>
      </c>
      <c r="U542" s="147"/>
      <c r="V542" s="148"/>
      <c r="W542" s="148"/>
      <c r="X542" s="148"/>
      <c r="Y542" s="148"/>
      <c r="Z542" s="148"/>
      <c r="AA542" s="148"/>
      <c r="AB542" s="149"/>
      <c r="AC542" s="150"/>
      <c r="AD542" s="76"/>
      <c r="AE542" s="76"/>
      <c r="AF542" s="128"/>
    </row>
    <row r="543" spans="1:32" outlineLevel="1" x14ac:dyDescent="0.25">
      <c r="A543" s="4" t="s">
        <v>631</v>
      </c>
      <c r="B543" s="75" t="s">
        <v>805</v>
      </c>
      <c r="C543" s="25"/>
      <c r="D543" s="92">
        <v>25</v>
      </c>
      <c r="E543" s="110">
        <v>70</v>
      </c>
      <c r="F543" s="93">
        <f t="shared" si="302"/>
        <v>1750</v>
      </c>
      <c r="G543" s="74">
        <f t="shared" si="299"/>
        <v>0</v>
      </c>
      <c r="H543" s="95">
        <f t="shared" si="297"/>
        <v>1750</v>
      </c>
      <c r="I543" s="112"/>
      <c r="J543" s="57">
        <f t="shared" ref="J543:J574" si="303">F543</f>
        <v>1750</v>
      </c>
      <c r="K543" s="57"/>
      <c r="L543" s="57"/>
      <c r="M543" s="57"/>
      <c r="N543" s="57"/>
      <c r="O543" s="57"/>
      <c r="P543" s="68"/>
      <c r="Q543" s="58"/>
      <c r="R543" s="170">
        <f t="shared" ref="R543:R573" si="304">P543*Q543</f>
        <v>0</v>
      </c>
      <c r="S543" s="89">
        <f t="shared" si="286"/>
        <v>0</v>
      </c>
      <c r="T543" s="216">
        <f t="shared" si="287"/>
        <v>0</v>
      </c>
      <c r="U543" s="147"/>
      <c r="V543" s="148">
        <f>O543</f>
        <v>0</v>
      </c>
      <c r="W543" s="148"/>
      <c r="X543" s="148"/>
      <c r="Y543" s="148"/>
      <c r="Z543" s="148"/>
      <c r="AA543" s="148"/>
      <c r="AB543" s="149"/>
      <c r="AC543" s="150"/>
      <c r="AD543" s="76"/>
      <c r="AE543" s="76"/>
      <c r="AF543" s="128"/>
    </row>
    <row r="544" spans="1:32" outlineLevel="1" x14ac:dyDescent="0.25">
      <c r="A544" s="4" t="s">
        <v>637</v>
      </c>
      <c r="B544" s="75" t="s">
        <v>806</v>
      </c>
      <c r="C544" s="25"/>
      <c r="D544" s="92">
        <v>25</v>
      </c>
      <c r="E544" s="110">
        <v>70</v>
      </c>
      <c r="F544" s="93">
        <f t="shared" si="302"/>
        <v>1750</v>
      </c>
      <c r="G544" s="74">
        <f t="shared" si="299"/>
        <v>0</v>
      </c>
      <c r="H544" s="95">
        <f t="shared" si="297"/>
        <v>1750</v>
      </c>
      <c r="I544" s="112"/>
      <c r="J544" s="57">
        <f t="shared" si="303"/>
        <v>1750</v>
      </c>
      <c r="K544" s="57"/>
      <c r="L544" s="57"/>
      <c r="M544" s="57"/>
      <c r="N544" s="57"/>
      <c r="O544" s="57"/>
      <c r="P544" s="68"/>
      <c r="Q544" s="58"/>
      <c r="R544" s="170">
        <v>1357.47</v>
      </c>
      <c r="S544" s="89">
        <f t="shared" si="286"/>
        <v>-1357.47</v>
      </c>
      <c r="T544" s="216">
        <f t="shared" si="287"/>
        <v>0</v>
      </c>
      <c r="U544" s="147"/>
      <c r="V544" s="148"/>
      <c r="W544" s="148"/>
      <c r="X544" s="148"/>
      <c r="Y544" s="148"/>
      <c r="Z544" s="148"/>
      <c r="AA544" s="148"/>
      <c r="AB544" s="149"/>
      <c r="AC544" s="150"/>
      <c r="AD544" s="76"/>
      <c r="AE544" s="76"/>
      <c r="AF544" s="128"/>
    </row>
    <row r="545" spans="1:32" outlineLevel="1" x14ac:dyDescent="0.25">
      <c r="A545" s="4" t="s">
        <v>632</v>
      </c>
      <c r="B545" s="75" t="s">
        <v>807</v>
      </c>
      <c r="C545" s="25"/>
      <c r="D545" s="92">
        <v>0</v>
      </c>
      <c r="E545" s="110">
        <v>70</v>
      </c>
      <c r="F545" s="93">
        <f t="shared" si="302"/>
        <v>0</v>
      </c>
      <c r="G545" s="74">
        <f t="shared" si="299"/>
        <v>0</v>
      </c>
      <c r="H545" s="95">
        <f t="shared" si="297"/>
        <v>0</v>
      </c>
      <c r="I545" s="112"/>
      <c r="J545" s="57">
        <f t="shared" si="303"/>
        <v>0</v>
      </c>
      <c r="K545" s="57"/>
      <c r="L545" s="57"/>
      <c r="M545" s="57"/>
      <c r="N545" s="57"/>
      <c r="O545" s="57"/>
      <c r="P545" s="68"/>
      <c r="Q545" s="58"/>
      <c r="R545" s="170">
        <f t="shared" si="304"/>
        <v>0</v>
      </c>
      <c r="S545" s="89">
        <f t="shared" si="286"/>
        <v>0</v>
      </c>
      <c r="T545" s="216">
        <f t="shared" si="287"/>
        <v>0</v>
      </c>
      <c r="U545" s="147"/>
      <c r="V545" s="148">
        <f>O545</f>
        <v>0</v>
      </c>
      <c r="W545" s="148"/>
      <c r="X545" s="148"/>
      <c r="Y545" s="148"/>
      <c r="Z545" s="148"/>
      <c r="AA545" s="148"/>
      <c r="AB545" s="149"/>
      <c r="AC545" s="150"/>
      <c r="AD545" s="76"/>
      <c r="AE545" s="76"/>
      <c r="AF545" s="128"/>
    </row>
    <row r="546" spans="1:32" outlineLevel="1" x14ac:dyDescent="0.25">
      <c r="A546" s="4" t="s">
        <v>638</v>
      </c>
      <c r="B546" s="75" t="s">
        <v>808</v>
      </c>
      <c r="C546" s="25"/>
      <c r="D546" s="92">
        <v>25</v>
      </c>
      <c r="E546" s="110">
        <v>70</v>
      </c>
      <c r="F546" s="93">
        <f t="shared" si="302"/>
        <v>1750</v>
      </c>
      <c r="G546" s="74">
        <f t="shared" si="299"/>
        <v>0</v>
      </c>
      <c r="H546" s="95">
        <f t="shared" si="297"/>
        <v>1750</v>
      </c>
      <c r="I546" s="112"/>
      <c r="J546" s="57">
        <f t="shared" si="303"/>
        <v>1750</v>
      </c>
      <c r="K546" s="57"/>
      <c r="L546" s="57"/>
      <c r="M546" s="57"/>
      <c r="N546" s="57"/>
      <c r="O546" s="57"/>
      <c r="P546" s="68"/>
      <c r="Q546" s="58"/>
      <c r="R546" s="170">
        <v>1931.33</v>
      </c>
      <c r="S546" s="89">
        <f t="shared" si="286"/>
        <v>-1931.33</v>
      </c>
      <c r="T546" s="216">
        <f t="shared" si="287"/>
        <v>0</v>
      </c>
      <c r="U546" s="147"/>
      <c r="V546" s="148">
        <f>O546</f>
        <v>0</v>
      </c>
      <c r="W546" s="148"/>
      <c r="X546" s="148"/>
      <c r="Y546" s="148"/>
      <c r="Z546" s="148"/>
      <c r="AA546" s="148"/>
      <c r="AB546" s="149"/>
      <c r="AC546" s="150"/>
      <c r="AD546" s="76"/>
      <c r="AE546" s="76"/>
      <c r="AF546" s="128"/>
    </row>
    <row r="547" spans="1:32" outlineLevel="1" x14ac:dyDescent="0.25">
      <c r="A547" s="4" t="s">
        <v>679</v>
      </c>
      <c r="B547" s="75" t="s">
        <v>809</v>
      </c>
      <c r="C547" s="25"/>
      <c r="D547" s="92">
        <v>25</v>
      </c>
      <c r="E547" s="110">
        <v>70</v>
      </c>
      <c r="F547" s="93">
        <f t="shared" si="302"/>
        <v>1750</v>
      </c>
      <c r="G547" s="74">
        <f t="shared" si="299"/>
        <v>0</v>
      </c>
      <c r="H547" s="95">
        <f t="shared" si="297"/>
        <v>1750</v>
      </c>
      <c r="I547" s="112"/>
      <c r="J547" s="57">
        <f t="shared" si="303"/>
        <v>1750</v>
      </c>
      <c r="K547" s="57"/>
      <c r="L547" s="57"/>
      <c r="M547" s="57"/>
      <c r="N547" s="57"/>
      <c r="O547" s="57"/>
      <c r="P547" s="68"/>
      <c r="Q547" s="58"/>
      <c r="R547" s="170">
        <f t="shared" si="304"/>
        <v>0</v>
      </c>
      <c r="S547" s="89">
        <f t="shared" si="286"/>
        <v>0</v>
      </c>
      <c r="T547" s="216">
        <f t="shared" si="287"/>
        <v>0</v>
      </c>
      <c r="U547" s="147"/>
      <c r="V547" s="148">
        <f>O547</f>
        <v>0</v>
      </c>
      <c r="W547" s="148"/>
      <c r="X547" s="148"/>
      <c r="Y547" s="148"/>
      <c r="Z547" s="148"/>
      <c r="AA547" s="148"/>
      <c r="AB547" s="149"/>
      <c r="AC547" s="150"/>
      <c r="AD547" s="76"/>
      <c r="AE547" s="76"/>
      <c r="AF547" s="128"/>
    </row>
    <row r="548" spans="1:32" outlineLevel="1" x14ac:dyDescent="0.25">
      <c r="A548" s="4" t="s">
        <v>680</v>
      </c>
      <c r="B548" s="75" t="s">
        <v>810</v>
      </c>
      <c r="C548" s="25"/>
      <c r="D548" s="92">
        <v>25</v>
      </c>
      <c r="E548" s="110">
        <v>70</v>
      </c>
      <c r="F548" s="93">
        <f t="shared" si="302"/>
        <v>1750</v>
      </c>
      <c r="G548" s="74">
        <f t="shared" si="299"/>
        <v>0</v>
      </c>
      <c r="H548" s="95">
        <f t="shared" si="297"/>
        <v>1750</v>
      </c>
      <c r="I548" s="112"/>
      <c r="J548" s="57">
        <f t="shared" si="303"/>
        <v>1750</v>
      </c>
      <c r="K548" s="57"/>
      <c r="L548" s="57"/>
      <c r="M548" s="57"/>
      <c r="N548" s="57"/>
      <c r="O548" s="57"/>
      <c r="P548" s="68"/>
      <c r="Q548" s="58"/>
      <c r="R548" s="170">
        <v>1495.06</v>
      </c>
      <c r="S548" s="89">
        <f t="shared" si="286"/>
        <v>-1495.06</v>
      </c>
      <c r="T548" s="216">
        <f t="shared" si="287"/>
        <v>0</v>
      </c>
      <c r="U548" s="147"/>
      <c r="V548" s="148"/>
      <c r="W548" s="148"/>
      <c r="X548" s="148"/>
      <c r="Y548" s="148"/>
      <c r="Z548" s="148"/>
      <c r="AA548" s="148"/>
      <c r="AB548" s="149"/>
      <c r="AC548" s="150"/>
      <c r="AD548" s="76"/>
      <c r="AE548" s="76"/>
      <c r="AF548" s="128"/>
    </row>
    <row r="549" spans="1:32" outlineLevel="1" x14ac:dyDescent="0.25">
      <c r="A549" s="4" t="s">
        <v>681</v>
      </c>
      <c r="B549" s="75" t="s">
        <v>811</v>
      </c>
      <c r="C549" s="25"/>
      <c r="D549" s="92">
        <v>0</v>
      </c>
      <c r="E549" s="110">
        <v>70</v>
      </c>
      <c r="F549" s="93">
        <f t="shared" si="302"/>
        <v>0</v>
      </c>
      <c r="G549" s="74">
        <f t="shared" si="299"/>
        <v>0</v>
      </c>
      <c r="H549" s="95">
        <f t="shared" si="297"/>
        <v>0</v>
      </c>
      <c r="I549" s="112"/>
      <c r="J549" s="57">
        <f t="shared" si="303"/>
        <v>0</v>
      </c>
      <c r="K549" s="57"/>
      <c r="L549" s="57"/>
      <c r="M549" s="57"/>
      <c r="N549" s="57"/>
      <c r="O549" s="57"/>
      <c r="P549" s="68"/>
      <c r="Q549" s="58"/>
      <c r="R549" s="170">
        <v>1467.06</v>
      </c>
      <c r="S549" s="89">
        <f t="shared" si="286"/>
        <v>-1467.06</v>
      </c>
      <c r="T549" s="216">
        <f t="shared" si="287"/>
        <v>0</v>
      </c>
      <c r="U549" s="147"/>
      <c r="V549" s="148"/>
      <c r="W549" s="148"/>
      <c r="X549" s="148"/>
      <c r="Y549" s="148"/>
      <c r="Z549" s="148"/>
      <c r="AA549" s="148"/>
      <c r="AB549" s="149"/>
      <c r="AC549" s="150"/>
      <c r="AD549" s="76"/>
      <c r="AE549" s="76"/>
      <c r="AF549" s="128"/>
    </row>
    <row r="550" spans="1:32" outlineLevel="1" x14ac:dyDescent="0.25">
      <c r="A550" s="4" t="s">
        <v>682</v>
      </c>
      <c r="B550" s="75" t="s">
        <v>781</v>
      </c>
      <c r="C550" s="25"/>
      <c r="D550" s="92">
        <v>25</v>
      </c>
      <c r="E550" s="110">
        <v>70</v>
      </c>
      <c r="F550" s="93">
        <f t="shared" si="302"/>
        <v>1750</v>
      </c>
      <c r="G550" s="74">
        <f t="shared" si="299"/>
        <v>0</v>
      </c>
      <c r="H550" s="95">
        <f t="shared" si="297"/>
        <v>1750</v>
      </c>
      <c r="I550" s="112"/>
      <c r="J550" s="57">
        <f t="shared" si="303"/>
        <v>1750</v>
      </c>
      <c r="K550" s="57"/>
      <c r="L550" s="57"/>
      <c r="M550" s="57"/>
      <c r="N550" s="57"/>
      <c r="O550" s="57"/>
      <c r="P550" s="68"/>
      <c r="Q550" s="58"/>
      <c r="R550" s="170">
        <v>1040.17</v>
      </c>
      <c r="S550" s="89">
        <f t="shared" si="286"/>
        <v>-1040.17</v>
      </c>
      <c r="T550" s="216">
        <f t="shared" si="287"/>
        <v>0</v>
      </c>
      <c r="U550" s="147"/>
      <c r="V550" s="148"/>
      <c r="W550" s="148"/>
      <c r="X550" s="148"/>
      <c r="Y550" s="148"/>
      <c r="Z550" s="148"/>
      <c r="AA550" s="148"/>
      <c r="AB550" s="149"/>
      <c r="AC550" s="150"/>
      <c r="AD550" s="76"/>
      <c r="AE550" s="76"/>
      <c r="AF550" s="128"/>
    </row>
    <row r="551" spans="1:32" outlineLevel="1" x14ac:dyDescent="0.25">
      <c r="A551" s="4" t="s">
        <v>683</v>
      </c>
      <c r="B551" s="75" t="s">
        <v>782</v>
      </c>
      <c r="C551" s="25"/>
      <c r="D551" s="92">
        <v>25</v>
      </c>
      <c r="E551" s="110">
        <v>70</v>
      </c>
      <c r="F551" s="93">
        <f t="shared" si="302"/>
        <v>1750</v>
      </c>
      <c r="G551" s="74">
        <f t="shared" si="299"/>
        <v>0</v>
      </c>
      <c r="H551" s="95">
        <f t="shared" si="297"/>
        <v>1750</v>
      </c>
      <c r="I551" s="112"/>
      <c r="J551" s="57">
        <f t="shared" si="303"/>
        <v>1750</v>
      </c>
      <c r="K551" s="57"/>
      <c r="L551" s="57"/>
      <c r="M551" s="57"/>
      <c r="N551" s="57"/>
      <c r="O551" s="57"/>
      <c r="P551" s="68"/>
      <c r="Q551" s="58"/>
      <c r="R551" s="170">
        <v>951.51</v>
      </c>
      <c r="S551" s="89">
        <f t="shared" si="286"/>
        <v>-951.51</v>
      </c>
      <c r="T551" s="216">
        <f t="shared" si="287"/>
        <v>0</v>
      </c>
      <c r="U551" s="147"/>
      <c r="V551" s="148">
        <f t="shared" ref="V551:V572" si="305">O551</f>
        <v>0</v>
      </c>
      <c r="W551" s="148"/>
      <c r="X551" s="148"/>
      <c r="Y551" s="148"/>
      <c r="Z551" s="148"/>
      <c r="AA551" s="148"/>
      <c r="AB551" s="149"/>
      <c r="AC551" s="150"/>
      <c r="AD551" s="76"/>
      <c r="AE551" s="76"/>
      <c r="AF551" s="128"/>
    </row>
    <row r="552" spans="1:32" outlineLevel="1" x14ac:dyDescent="0.25">
      <c r="A552" s="4" t="s">
        <v>684</v>
      </c>
      <c r="B552" s="75" t="s">
        <v>783</v>
      </c>
      <c r="C552" s="25"/>
      <c r="D552" s="92">
        <v>25</v>
      </c>
      <c r="E552" s="110">
        <v>70</v>
      </c>
      <c r="F552" s="93">
        <f t="shared" si="302"/>
        <v>1750</v>
      </c>
      <c r="G552" s="74">
        <f t="shared" si="299"/>
        <v>0</v>
      </c>
      <c r="H552" s="95">
        <f t="shared" si="297"/>
        <v>1750</v>
      </c>
      <c r="I552" s="112"/>
      <c r="J552" s="57">
        <f t="shared" si="303"/>
        <v>1750</v>
      </c>
      <c r="K552" s="57"/>
      <c r="L552" s="57"/>
      <c r="M552" s="57"/>
      <c r="N552" s="57"/>
      <c r="O552" s="57"/>
      <c r="P552" s="68"/>
      <c r="Q552" s="58"/>
      <c r="R552" s="170">
        <v>284.2</v>
      </c>
      <c r="S552" s="89">
        <f t="shared" si="286"/>
        <v>-284.2</v>
      </c>
      <c r="T552" s="216">
        <f t="shared" si="287"/>
        <v>0</v>
      </c>
      <c r="U552" s="147"/>
      <c r="V552" s="148">
        <f t="shared" si="305"/>
        <v>0</v>
      </c>
      <c r="W552" s="148"/>
      <c r="X552" s="148"/>
      <c r="Y552" s="148"/>
      <c r="Z552" s="148"/>
      <c r="AA552" s="148"/>
      <c r="AB552" s="149"/>
      <c r="AC552" s="150"/>
      <c r="AD552" s="76"/>
      <c r="AE552" s="76"/>
      <c r="AF552" s="128"/>
    </row>
    <row r="553" spans="1:32" outlineLevel="1" x14ac:dyDescent="0.25">
      <c r="A553" s="4" t="s">
        <v>685</v>
      </c>
      <c r="B553" s="75" t="s">
        <v>784</v>
      </c>
      <c r="C553" s="25"/>
      <c r="D553" s="92">
        <v>25</v>
      </c>
      <c r="E553" s="110">
        <v>70</v>
      </c>
      <c r="F553" s="93">
        <f t="shared" si="302"/>
        <v>1750</v>
      </c>
      <c r="G553" s="74">
        <f t="shared" si="299"/>
        <v>0</v>
      </c>
      <c r="H553" s="95">
        <f t="shared" si="297"/>
        <v>1750</v>
      </c>
      <c r="I553" s="112"/>
      <c r="J553" s="57">
        <f t="shared" si="303"/>
        <v>1750</v>
      </c>
      <c r="K553" s="57"/>
      <c r="L553" s="57"/>
      <c r="M553" s="57"/>
      <c r="N553" s="57"/>
      <c r="O553" s="57"/>
      <c r="P553" s="68"/>
      <c r="Q553" s="58"/>
      <c r="R553" s="170">
        <f t="shared" si="304"/>
        <v>0</v>
      </c>
      <c r="S553" s="89">
        <f t="shared" si="286"/>
        <v>0</v>
      </c>
      <c r="T553" s="216">
        <f t="shared" si="287"/>
        <v>0</v>
      </c>
      <c r="U553" s="147"/>
      <c r="V553" s="148">
        <f t="shared" si="305"/>
        <v>0</v>
      </c>
      <c r="W553" s="148"/>
      <c r="X553" s="148"/>
      <c r="Y553" s="148"/>
      <c r="Z553" s="148"/>
      <c r="AA553" s="148"/>
      <c r="AB553" s="149"/>
      <c r="AC553" s="150"/>
      <c r="AD553" s="76"/>
      <c r="AE553" s="76"/>
      <c r="AF553" s="128"/>
    </row>
    <row r="554" spans="1:32" outlineLevel="1" x14ac:dyDescent="0.25">
      <c r="A554" s="4" t="s">
        <v>686</v>
      </c>
      <c r="B554" s="75" t="s">
        <v>785</v>
      </c>
      <c r="C554" s="25"/>
      <c r="D554" s="92">
        <v>25</v>
      </c>
      <c r="E554" s="110">
        <v>70</v>
      </c>
      <c r="F554" s="93">
        <f t="shared" si="302"/>
        <v>1750</v>
      </c>
      <c r="G554" s="74">
        <f t="shared" si="299"/>
        <v>0</v>
      </c>
      <c r="H554" s="95">
        <f t="shared" si="297"/>
        <v>1750</v>
      </c>
      <c r="I554" s="112"/>
      <c r="J554" s="57">
        <f t="shared" si="303"/>
        <v>1750</v>
      </c>
      <c r="K554" s="57"/>
      <c r="L554" s="57"/>
      <c r="M554" s="57"/>
      <c r="N554" s="57"/>
      <c r="O554" s="57"/>
      <c r="P554" s="68"/>
      <c r="Q554" s="58"/>
      <c r="R554" s="170">
        <f t="shared" si="304"/>
        <v>0</v>
      </c>
      <c r="S554" s="89">
        <f t="shared" si="286"/>
        <v>0</v>
      </c>
      <c r="T554" s="216">
        <f t="shared" si="287"/>
        <v>0</v>
      </c>
      <c r="U554" s="147"/>
      <c r="V554" s="148">
        <f t="shared" si="305"/>
        <v>0</v>
      </c>
      <c r="W554" s="148"/>
      <c r="X554" s="148"/>
      <c r="Y554" s="148"/>
      <c r="Z554" s="148"/>
      <c r="AA554" s="148"/>
      <c r="AB554" s="149"/>
      <c r="AC554" s="150"/>
      <c r="AD554" s="76"/>
      <c r="AE554" s="76"/>
      <c r="AF554" s="128"/>
    </row>
    <row r="555" spans="1:32" outlineLevel="1" x14ac:dyDescent="0.25">
      <c r="A555" s="4" t="s">
        <v>687</v>
      </c>
      <c r="B555" s="75" t="s">
        <v>786</v>
      </c>
      <c r="C555" s="25"/>
      <c r="D555" s="92">
        <v>25</v>
      </c>
      <c r="E555" s="110">
        <v>70</v>
      </c>
      <c r="F555" s="93">
        <f t="shared" si="302"/>
        <v>1750</v>
      </c>
      <c r="G555" s="74">
        <f t="shared" si="299"/>
        <v>0</v>
      </c>
      <c r="H555" s="95">
        <f t="shared" si="297"/>
        <v>1750</v>
      </c>
      <c r="I555" s="112"/>
      <c r="J555" s="57">
        <f t="shared" si="303"/>
        <v>1750</v>
      </c>
      <c r="K555" s="57"/>
      <c r="L555" s="57"/>
      <c r="M555" s="57"/>
      <c r="N555" s="57"/>
      <c r="O555" s="57"/>
      <c r="P555" s="68"/>
      <c r="Q555" s="58"/>
      <c r="R555" s="170">
        <f t="shared" si="304"/>
        <v>0</v>
      </c>
      <c r="S555" s="89">
        <f t="shared" si="286"/>
        <v>0</v>
      </c>
      <c r="T555" s="216">
        <f t="shared" si="287"/>
        <v>0</v>
      </c>
      <c r="U555" s="147"/>
      <c r="V555" s="148">
        <f t="shared" si="305"/>
        <v>0</v>
      </c>
      <c r="W555" s="148"/>
      <c r="X555" s="148"/>
      <c r="Y555" s="148"/>
      <c r="Z555" s="148"/>
      <c r="AA555" s="148"/>
      <c r="AB555" s="149"/>
      <c r="AC555" s="150"/>
      <c r="AD555" s="76"/>
      <c r="AE555" s="76"/>
      <c r="AF555" s="128"/>
    </row>
    <row r="556" spans="1:32" outlineLevel="1" x14ac:dyDescent="0.25">
      <c r="A556" s="4" t="s">
        <v>688</v>
      </c>
      <c r="B556" s="75" t="s">
        <v>787</v>
      </c>
      <c r="C556" s="25"/>
      <c r="D556" s="92">
        <v>25</v>
      </c>
      <c r="E556" s="110">
        <v>70</v>
      </c>
      <c r="F556" s="93">
        <f t="shared" si="302"/>
        <v>1750</v>
      </c>
      <c r="G556" s="74">
        <f t="shared" si="299"/>
        <v>0</v>
      </c>
      <c r="H556" s="95">
        <f t="shared" si="297"/>
        <v>1750</v>
      </c>
      <c r="I556" s="112"/>
      <c r="J556" s="57">
        <f t="shared" si="303"/>
        <v>1750</v>
      </c>
      <c r="K556" s="57"/>
      <c r="L556" s="57"/>
      <c r="M556" s="57"/>
      <c r="N556" s="57"/>
      <c r="O556" s="57"/>
      <c r="P556" s="68"/>
      <c r="Q556" s="58"/>
      <c r="R556" s="170">
        <f t="shared" si="304"/>
        <v>0</v>
      </c>
      <c r="S556" s="89">
        <f t="shared" si="286"/>
        <v>0</v>
      </c>
      <c r="T556" s="216">
        <f t="shared" si="287"/>
        <v>0</v>
      </c>
      <c r="U556" s="147"/>
      <c r="V556" s="148">
        <f t="shared" si="305"/>
        <v>0</v>
      </c>
      <c r="W556" s="148"/>
      <c r="X556" s="148"/>
      <c r="Y556" s="148"/>
      <c r="Z556" s="148"/>
      <c r="AA556" s="148"/>
      <c r="AB556" s="149"/>
      <c r="AC556" s="150"/>
      <c r="AD556" s="76"/>
      <c r="AE556" s="76"/>
      <c r="AF556" s="128"/>
    </row>
    <row r="557" spans="1:32" outlineLevel="1" x14ac:dyDescent="0.25">
      <c r="A557" s="4" t="s">
        <v>763</v>
      </c>
      <c r="B557" s="75" t="s">
        <v>788</v>
      </c>
      <c r="C557" s="25"/>
      <c r="D557" s="92">
        <v>25</v>
      </c>
      <c r="E557" s="110">
        <v>70</v>
      </c>
      <c r="F557" s="93">
        <f t="shared" si="302"/>
        <v>1750</v>
      </c>
      <c r="G557" s="74">
        <f t="shared" si="299"/>
        <v>0</v>
      </c>
      <c r="H557" s="95">
        <f t="shared" si="297"/>
        <v>1750</v>
      </c>
      <c r="I557" s="112"/>
      <c r="J557" s="57">
        <f t="shared" si="303"/>
        <v>1750</v>
      </c>
      <c r="K557" s="57"/>
      <c r="L557" s="57"/>
      <c r="M557" s="57"/>
      <c r="N557" s="57"/>
      <c r="O557" s="57"/>
      <c r="P557" s="68"/>
      <c r="Q557" s="58"/>
      <c r="R557" s="170">
        <f t="shared" si="304"/>
        <v>0</v>
      </c>
      <c r="S557" s="89">
        <f t="shared" si="286"/>
        <v>0</v>
      </c>
      <c r="T557" s="216">
        <f t="shared" si="287"/>
        <v>0</v>
      </c>
      <c r="U557" s="147"/>
      <c r="V557" s="148">
        <f t="shared" si="305"/>
        <v>0</v>
      </c>
      <c r="W557" s="148"/>
      <c r="X557" s="148"/>
      <c r="Y557" s="148"/>
      <c r="Z557" s="148"/>
      <c r="AA557" s="148"/>
      <c r="AB557" s="149"/>
      <c r="AC557" s="150"/>
      <c r="AD557" s="76"/>
      <c r="AE557" s="76"/>
      <c r="AF557" s="128"/>
    </row>
    <row r="558" spans="1:32" outlineLevel="1" x14ac:dyDescent="0.25">
      <c r="A558" s="4" t="s">
        <v>764</v>
      </c>
      <c r="B558" s="75" t="s">
        <v>789</v>
      </c>
      <c r="C558" s="25"/>
      <c r="D558" s="92">
        <v>25</v>
      </c>
      <c r="E558" s="110">
        <v>70</v>
      </c>
      <c r="F558" s="93">
        <f t="shared" si="302"/>
        <v>1750</v>
      </c>
      <c r="G558" s="74">
        <f t="shared" si="299"/>
        <v>0</v>
      </c>
      <c r="H558" s="95">
        <f t="shared" si="297"/>
        <v>1750</v>
      </c>
      <c r="I558" s="112"/>
      <c r="J558" s="57">
        <f t="shared" si="303"/>
        <v>1750</v>
      </c>
      <c r="K558" s="57"/>
      <c r="L558" s="57"/>
      <c r="M558" s="57"/>
      <c r="N558" s="57"/>
      <c r="O558" s="57"/>
      <c r="P558" s="68"/>
      <c r="Q558" s="58"/>
      <c r="R558" s="170">
        <f t="shared" si="304"/>
        <v>0</v>
      </c>
      <c r="S558" s="89">
        <f t="shared" si="286"/>
        <v>0</v>
      </c>
      <c r="T558" s="216">
        <f t="shared" si="287"/>
        <v>0</v>
      </c>
      <c r="U558" s="147"/>
      <c r="V558" s="148">
        <f t="shared" si="305"/>
        <v>0</v>
      </c>
      <c r="W558" s="148"/>
      <c r="X558" s="148"/>
      <c r="Y558" s="148"/>
      <c r="Z558" s="148"/>
      <c r="AA558" s="148"/>
      <c r="AB558" s="149"/>
      <c r="AC558" s="150"/>
      <c r="AD558" s="76"/>
      <c r="AE558" s="76"/>
      <c r="AF558" s="128"/>
    </row>
    <row r="559" spans="1:32" outlineLevel="1" x14ac:dyDescent="0.25">
      <c r="A559" s="4" t="s">
        <v>765</v>
      </c>
      <c r="B559" s="75" t="s">
        <v>790</v>
      </c>
      <c r="C559" s="25"/>
      <c r="D559" s="92">
        <v>25</v>
      </c>
      <c r="E559" s="110">
        <v>70</v>
      </c>
      <c r="F559" s="93">
        <f t="shared" si="302"/>
        <v>1750</v>
      </c>
      <c r="G559" s="74">
        <f t="shared" si="299"/>
        <v>0</v>
      </c>
      <c r="H559" s="95">
        <f t="shared" si="297"/>
        <v>1750</v>
      </c>
      <c r="I559" s="112"/>
      <c r="J559" s="57">
        <f t="shared" si="303"/>
        <v>1750</v>
      </c>
      <c r="K559" s="57"/>
      <c r="L559" s="57"/>
      <c r="M559" s="57"/>
      <c r="N559" s="57"/>
      <c r="O559" s="57"/>
      <c r="P559" s="68"/>
      <c r="Q559" s="58"/>
      <c r="R559" s="170">
        <f t="shared" si="304"/>
        <v>0</v>
      </c>
      <c r="S559" s="89">
        <f t="shared" si="286"/>
        <v>0</v>
      </c>
      <c r="T559" s="216">
        <f t="shared" si="287"/>
        <v>0</v>
      </c>
      <c r="U559" s="147"/>
      <c r="V559" s="148">
        <f t="shared" si="305"/>
        <v>0</v>
      </c>
      <c r="W559" s="148"/>
      <c r="X559" s="148"/>
      <c r="Y559" s="148"/>
      <c r="Z559" s="148"/>
      <c r="AA559" s="148"/>
      <c r="AB559" s="149"/>
      <c r="AC559" s="150"/>
      <c r="AD559" s="76"/>
      <c r="AE559" s="76"/>
      <c r="AF559" s="128"/>
    </row>
    <row r="560" spans="1:32" outlineLevel="1" x14ac:dyDescent="0.25">
      <c r="A560" s="4" t="s">
        <v>766</v>
      </c>
      <c r="B560" s="75" t="s">
        <v>791</v>
      </c>
      <c r="C560" s="25"/>
      <c r="D560" s="92">
        <v>25</v>
      </c>
      <c r="E560" s="110">
        <v>70</v>
      </c>
      <c r="F560" s="93">
        <f t="shared" si="302"/>
        <v>1750</v>
      </c>
      <c r="G560" s="74">
        <f t="shared" si="299"/>
        <v>0</v>
      </c>
      <c r="H560" s="95">
        <f t="shared" si="297"/>
        <v>1750</v>
      </c>
      <c r="I560" s="112"/>
      <c r="J560" s="57">
        <f t="shared" si="303"/>
        <v>1750</v>
      </c>
      <c r="K560" s="57"/>
      <c r="L560" s="57"/>
      <c r="M560" s="57"/>
      <c r="N560" s="57"/>
      <c r="O560" s="57"/>
      <c r="P560" s="68"/>
      <c r="Q560" s="58"/>
      <c r="R560" s="170">
        <f t="shared" si="304"/>
        <v>0</v>
      </c>
      <c r="S560" s="89">
        <f t="shared" si="286"/>
        <v>0</v>
      </c>
      <c r="T560" s="216">
        <f t="shared" si="287"/>
        <v>0</v>
      </c>
      <c r="U560" s="147"/>
      <c r="V560" s="148">
        <f t="shared" si="305"/>
        <v>0</v>
      </c>
      <c r="W560" s="148"/>
      <c r="X560" s="148"/>
      <c r="Y560" s="148"/>
      <c r="Z560" s="148"/>
      <c r="AA560" s="148"/>
      <c r="AB560" s="149"/>
      <c r="AC560" s="150"/>
      <c r="AD560" s="76"/>
      <c r="AE560" s="76"/>
      <c r="AF560" s="128"/>
    </row>
    <row r="561" spans="1:32" outlineLevel="1" x14ac:dyDescent="0.25">
      <c r="A561" s="4" t="s">
        <v>767</v>
      </c>
      <c r="B561" s="75" t="s">
        <v>792</v>
      </c>
      <c r="C561" s="25"/>
      <c r="D561" s="92">
        <v>25</v>
      </c>
      <c r="E561" s="110">
        <v>70</v>
      </c>
      <c r="F561" s="93">
        <f t="shared" si="302"/>
        <v>1750</v>
      </c>
      <c r="G561" s="74">
        <f t="shared" si="299"/>
        <v>0</v>
      </c>
      <c r="H561" s="95">
        <f t="shared" si="297"/>
        <v>1750</v>
      </c>
      <c r="I561" s="112"/>
      <c r="J561" s="57">
        <f t="shared" si="303"/>
        <v>1750</v>
      </c>
      <c r="K561" s="57"/>
      <c r="L561" s="57"/>
      <c r="M561" s="57"/>
      <c r="N561" s="57"/>
      <c r="O561" s="57"/>
      <c r="P561" s="68"/>
      <c r="Q561" s="58"/>
      <c r="R561" s="170">
        <f t="shared" si="304"/>
        <v>0</v>
      </c>
      <c r="S561" s="89">
        <f t="shared" si="286"/>
        <v>0</v>
      </c>
      <c r="T561" s="216">
        <f t="shared" si="287"/>
        <v>0</v>
      </c>
      <c r="U561" s="147"/>
      <c r="V561" s="148">
        <f t="shared" si="305"/>
        <v>0</v>
      </c>
      <c r="W561" s="148"/>
      <c r="X561" s="148"/>
      <c r="Y561" s="148"/>
      <c r="Z561" s="148"/>
      <c r="AA561" s="148"/>
      <c r="AB561" s="149"/>
      <c r="AC561" s="150"/>
      <c r="AD561" s="76"/>
      <c r="AE561" s="76"/>
      <c r="AF561" s="128"/>
    </row>
    <row r="562" spans="1:32" outlineLevel="1" x14ac:dyDescent="0.25">
      <c r="A562" s="4" t="s">
        <v>768</v>
      </c>
      <c r="B562" s="75" t="s">
        <v>793</v>
      </c>
      <c r="C562" s="25"/>
      <c r="D562" s="92">
        <v>25</v>
      </c>
      <c r="E562" s="110">
        <v>70</v>
      </c>
      <c r="F562" s="93">
        <f t="shared" si="302"/>
        <v>1750</v>
      </c>
      <c r="G562" s="74">
        <f t="shared" si="299"/>
        <v>0</v>
      </c>
      <c r="H562" s="95">
        <f t="shared" si="297"/>
        <v>1750</v>
      </c>
      <c r="I562" s="112"/>
      <c r="J562" s="57">
        <f t="shared" si="303"/>
        <v>1750</v>
      </c>
      <c r="K562" s="57"/>
      <c r="L562" s="57"/>
      <c r="M562" s="57"/>
      <c r="N562" s="57"/>
      <c r="O562" s="57"/>
      <c r="P562" s="68"/>
      <c r="Q562" s="58"/>
      <c r="R562" s="170">
        <f t="shared" si="304"/>
        <v>0</v>
      </c>
      <c r="S562" s="89">
        <f t="shared" si="286"/>
        <v>0</v>
      </c>
      <c r="T562" s="216">
        <f t="shared" si="287"/>
        <v>0</v>
      </c>
      <c r="U562" s="147"/>
      <c r="V562" s="148">
        <f t="shared" si="305"/>
        <v>0</v>
      </c>
      <c r="W562" s="148"/>
      <c r="X562" s="148"/>
      <c r="Y562" s="148"/>
      <c r="Z562" s="148"/>
      <c r="AA562" s="148"/>
      <c r="AB562" s="149"/>
      <c r="AC562" s="150"/>
      <c r="AD562" s="76"/>
      <c r="AE562" s="76"/>
      <c r="AF562" s="128"/>
    </row>
    <row r="563" spans="1:32" outlineLevel="1" x14ac:dyDescent="0.25">
      <c r="A563" s="4" t="s">
        <v>769</v>
      </c>
      <c r="B563" s="75" t="s">
        <v>794</v>
      </c>
      <c r="C563" s="25"/>
      <c r="D563" s="92">
        <v>25</v>
      </c>
      <c r="E563" s="110">
        <v>70</v>
      </c>
      <c r="F563" s="93">
        <f t="shared" si="302"/>
        <v>1750</v>
      </c>
      <c r="G563" s="74">
        <f t="shared" si="299"/>
        <v>0</v>
      </c>
      <c r="H563" s="95">
        <f t="shared" si="297"/>
        <v>1750</v>
      </c>
      <c r="I563" s="112"/>
      <c r="J563" s="57">
        <f t="shared" si="303"/>
        <v>1750</v>
      </c>
      <c r="K563" s="57"/>
      <c r="L563" s="57"/>
      <c r="M563" s="57"/>
      <c r="N563" s="57"/>
      <c r="O563" s="57"/>
      <c r="P563" s="68"/>
      <c r="Q563" s="58"/>
      <c r="R563" s="170">
        <f t="shared" si="304"/>
        <v>0</v>
      </c>
      <c r="S563" s="89">
        <f t="shared" si="286"/>
        <v>0</v>
      </c>
      <c r="T563" s="216">
        <f t="shared" si="287"/>
        <v>0</v>
      </c>
      <c r="U563" s="147"/>
      <c r="V563" s="148">
        <f t="shared" si="305"/>
        <v>0</v>
      </c>
      <c r="W563" s="148"/>
      <c r="X563" s="148"/>
      <c r="Y563" s="148"/>
      <c r="Z563" s="148"/>
      <c r="AA563" s="148"/>
      <c r="AB563" s="149"/>
      <c r="AC563" s="150"/>
      <c r="AD563" s="76"/>
      <c r="AE563" s="76"/>
      <c r="AF563" s="128"/>
    </row>
    <row r="564" spans="1:32" outlineLevel="1" x14ac:dyDescent="0.25">
      <c r="A564" s="4" t="s">
        <v>770</v>
      </c>
      <c r="B564" s="75" t="s">
        <v>795</v>
      </c>
      <c r="C564" s="25"/>
      <c r="D564" s="92">
        <v>25</v>
      </c>
      <c r="E564" s="110">
        <v>70</v>
      </c>
      <c r="F564" s="93">
        <f t="shared" si="302"/>
        <v>1750</v>
      </c>
      <c r="G564" s="74">
        <f t="shared" si="299"/>
        <v>0</v>
      </c>
      <c r="H564" s="95">
        <f t="shared" si="297"/>
        <v>1750</v>
      </c>
      <c r="I564" s="112"/>
      <c r="J564" s="57">
        <f t="shared" si="303"/>
        <v>1750</v>
      </c>
      <c r="K564" s="57"/>
      <c r="L564" s="57"/>
      <c r="M564" s="57"/>
      <c r="N564" s="57"/>
      <c r="O564" s="57"/>
      <c r="P564" s="68"/>
      <c r="Q564" s="58"/>
      <c r="R564" s="170">
        <f t="shared" si="304"/>
        <v>0</v>
      </c>
      <c r="S564" s="89">
        <f t="shared" si="286"/>
        <v>0</v>
      </c>
      <c r="T564" s="216">
        <f t="shared" si="287"/>
        <v>0</v>
      </c>
      <c r="U564" s="147"/>
      <c r="V564" s="148">
        <f t="shared" si="305"/>
        <v>0</v>
      </c>
      <c r="W564" s="148"/>
      <c r="X564" s="148"/>
      <c r="Y564" s="148"/>
      <c r="Z564" s="148"/>
      <c r="AA564" s="148"/>
      <c r="AB564" s="149"/>
      <c r="AC564" s="150"/>
      <c r="AD564" s="76"/>
      <c r="AE564" s="76"/>
      <c r="AF564" s="128"/>
    </row>
    <row r="565" spans="1:32" outlineLevel="1" x14ac:dyDescent="0.25">
      <c r="A565" s="4" t="s">
        <v>771</v>
      </c>
      <c r="B565" s="75" t="s">
        <v>796</v>
      </c>
      <c r="C565" s="25"/>
      <c r="D565" s="92">
        <v>25</v>
      </c>
      <c r="E565" s="110">
        <v>70</v>
      </c>
      <c r="F565" s="93">
        <f t="shared" si="302"/>
        <v>1750</v>
      </c>
      <c r="G565" s="74">
        <f t="shared" si="299"/>
        <v>0</v>
      </c>
      <c r="H565" s="95">
        <f t="shared" si="297"/>
        <v>1750</v>
      </c>
      <c r="I565" s="112"/>
      <c r="J565" s="57">
        <f t="shared" si="303"/>
        <v>1750</v>
      </c>
      <c r="K565" s="57"/>
      <c r="L565" s="57"/>
      <c r="M565" s="57"/>
      <c r="N565" s="57"/>
      <c r="O565" s="57"/>
      <c r="P565" s="68"/>
      <c r="Q565" s="58"/>
      <c r="R565" s="170">
        <v>782</v>
      </c>
      <c r="S565" s="89">
        <f t="shared" si="286"/>
        <v>-782</v>
      </c>
      <c r="T565" s="216">
        <f t="shared" si="287"/>
        <v>0</v>
      </c>
      <c r="U565" s="147"/>
      <c r="V565" s="148">
        <f t="shared" si="305"/>
        <v>0</v>
      </c>
      <c r="W565" s="148"/>
      <c r="X565" s="148"/>
      <c r="Y565" s="148"/>
      <c r="Z565" s="148"/>
      <c r="AA565" s="148"/>
      <c r="AB565" s="149"/>
      <c r="AC565" s="150"/>
      <c r="AD565" s="76"/>
      <c r="AE565" s="76"/>
      <c r="AF565" s="128"/>
    </row>
    <row r="566" spans="1:32" outlineLevel="1" x14ac:dyDescent="0.25">
      <c r="A566" s="4" t="s">
        <v>772</v>
      </c>
      <c r="B566" s="75" t="s">
        <v>797</v>
      </c>
      <c r="C566" s="25"/>
      <c r="D566" s="92">
        <v>25</v>
      </c>
      <c r="E566" s="110">
        <v>70</v>
      </c>
      <c r="F566" s="93">
        <f t="shared" si="302"/>
        <v>1750</v>
      </c>
      <c r="G566" s="74">
        <f t="shared" si="299"/>
        <v>0</v>
      </c>
      <c r="H566" s="95">
        <f t="shared" si="297"/>
        <v>1750</v>
      </c>
      <c r="I566" s="112"/>
      <c r="J566" s="57">
        <f t="shared" si="303"/>
        <v>1750</v>
      </c>
      <c r="K566" s="57"/>
      <c r="L566" s="57"/>
      <c r="M566" s="57"/>
      <c r="N566" s="57"/>
      <c r="O566" s="57"/>
      <c r="P566" s="68"/>
      <c r="Q566" s="58"/>
      <c r="R566" s="170">
        <f t="shared" si="304"/>
        <v>0</v>
      </c>
      <c r="S566" s="89">
        <f t="shared" si="286"/>
        <v>0</v>
      </c>
      <c r="T566" s="216">
        <f t="shared" si="287"/>
        <v>0</v>
      </c>
      <c r="U566" s="147"/>
      <c r="V566" s="148">
        <f t="shared" si="305"/>
        <v>0</v>
      </c>
      <c r="W566" s="148"/>
      <c r="X566" s="148"/>
      <c r="Y566" s="148"/>
      <c r="Z566" s="148"/>
      <c r="AA566" s="148"/>
      <c r="AB566" s="149"/>
      <c r="AC566" s="150"/>
      <c r="AD566" s="76"/>
      <c r="AE566" s="76"/>
      <c r="AF566" s="128"/>
    </row>
    <row r="567" spans="1:32" outlineLevel="1" x14ac:dyDescent="0.25">
      <c r="A567" s="4" t="s">
        <v>773</v>
      </c>
      <c r="B567" s="75" t="s">
        <v>798</v>
      </c>
      <c r="C567" s="25"/>
      <c r="D567" s="92">
        <v>25</v>
      </c>
      <c r="E567" s="110">
        <v>70</v>
      </c>
      <c r="F567" s="93">
        <f t="shared" si="302"/>
        <v>1750</v>
      </c>
      <c r="G567" s="74">
        <f t="shared" si="299"/>
        <v>0</v>
      </c>
      <c r="H567" s="95">
        <f t="shared" si="297"/>
        <v>1750</v>
      </c>
      <c r="I567" s="112"/>
      <c r="J567" s="57">
        <f t="shared" si="303"/>
        <v>1750</v>
      </c>
      <c r="K567" s="57"/>
      <c r="L567" s="57"/>
      <c r="M567" s="57"/>
      <c r="N567" s="57"/>
      <c r="O567" s="57"/>
      <c r="P567" s="68"/>
      <c r="Q567" s="58"/>
      <c r="R567" s="170">
        <f t="shared" si="304"/>
        <v>0</v>
      </c>
      <c r="S567" s="89">
        <f t="shared" si="286"/>
        <v>0</v>
      </c>
      <c r="T567" s="216">
        <f t="shared" si="287"/>
        <v>0</v>
      </c>
      <c r="U567" s="147"/>
      <c r="V567" s="148">
        <f t="shared" si="305"/>
        <v>0</v>
      </c>
      <c r="W567" s="148"/>
      <c r="X567" s="148"/>
      <c r="Y567" s="148"/>
      <c r="Z567" s="148"/>
      <c r="AA567" s="148"/>
      <c r="AB567" s="149"/>
      <c r="AC567" s="150"/>
      <c r="AD567" s="76"/>
      <c r="AE567" s="76"/>
      <c r="AF567" s="128"/>
    </row>
    <row r="568" spans="1:32" outlineLevel="1" x14ac:dyDescent="0.25">
      <c r="A568" s="4" t="s">
        <v>774</v>
      </c>
      <c r="B568" s="75" t="s">
        <v>799</v>
      </c>
      <c r="C568" s="25"/>
      <c r="D568" s="92">
        <v>25</v>
      </c>
      <c r="E568" s="110">
        <v>70</v>
      </c>
      <c r="F568" s="93">
        <f t="shared" si="302"/>
        <v>1750</v>
      </c>
      <c r="G568" s="74">
        <f t="shared" si="299"/>
        <v>0</v>
      </c>
      <c r="H568" s="95">
        <f t="shared" si="297"/>
        <v>1750</v>
      </c>
      <c r="I568" s="112"/>
      <c r="J568" s="57">
        <f t="shared" si="303"/>
        <v>1750</v>
      </c>
      <c r="K568" s="57"/>
      <c r="L568" s="57"/>
      <c r="M568" s="57"/>
      <c r="N568" s="57"/>
      <c r="O568" s="57"/>
      <c r="P568" s="68"/>
      <c r="Q568" s="58"/>
      <c r="R568" s="170">
        <f t="shared" si="304"/>
        <v>0</v>
      </c>
      <c r="S568" s="89">
        <f t="shared" si="286"/>
        <v>0</v>
      </c>
      <c r="T568" s="216">
        <f t="shared" si="287"/>
        <v>0</v>
      </c>
      <c r="U568" s="147"/>
      <c r="V568" s="148">
        <f t="shared" si="305"/>
        <v>0</v>
      </c>
      <c r="W568" s="148"/>
      <c r="X568" s="148"/>
      <c r="Y568" s="148"/>
      <c r="Z568" s="148"/>
      <c r="AA568" s="148"/>
      <c r="AB568" s="149"/>
      <c r="AC568" s="150"/>
      <c r="AD568" s="76"/>
      <c r="AE568" s="76"/>
      <c r="AF568" s="128"/>
    </row>
    <row r="569" spans="1:32" outlineLevel="1" x14ac:dyDescent="0.25">
      <c r="A569" s="4" t="s">
        <v>775</v>
      </c>
      <c r="B569" s="75" t="s">
        <v>800</v>
      </c>
      <c r="C569" s="25"/>
      <c r="D569" s="92">
        <v>25</v>
      </c>
      <c r="E569" s="110">
        <v>70</v>
      </c>
      <c r="F569" s="93">
        <f t="shared" si="302"/>
        <v>1750</v>
      </c>
      <c r="G569" s="74">
        <f t="shared" si="299"/>
        <v>0</v>
      </c>
      <c r="H569" s="95">
        <f t="shared" si="297"/>
        <v>1750</v>
      </c>
      <c r="I569" s="112"/>
      <c r="J569" s="57">
        <f t="shared" si="303"/>
        <v>1750</v>
      </c>
      <c r="K569" s="57"/>
      <c r="L569" s="57"/>
      <c r="M569" s="57"/>
      <c r="N569" s="57"/>
      <c r="O569" s="57"/>
      <c r="P569" s="68"/>
      <c r="Q569" s="58"/>
      <c r="R569" s="170">
        <f t="shared" si="304"/>
        <v>0</v>
      </c>
      <c r="S569" s="89">
        <f t="shared" si="286"/>
        <v>0</v>
      </c>
      <c r="T569" s="216">
        <f t="shared" si="287"/>
        <v>0</v>
      </c>
      <c r="U569" s="147"/>
      <c r="V569" s="148">
        <f t="shared" si="305"/>
        <v>0</v>
      </c>
      <c r="W569" s="148"/>
      <c r="X569" s="148"/>
      <c r="Y569" s="148"/>
      <c r="Z569" s="148"/>
      <c r="AA569" s="148"/>
      <c r="AB569" s="149"/>
      <c r="AC569" s="150"/>
      <c r="AD569" s="76"/>
      <c r="AE569" s="76"/>
      <c r="AF569" s="128"/>
    </row>
    <row r="570" spans="1:32" outlineLevel="1" x14ac:dyDescent="0.25">
      <c r="A570" s="4" t="s">
        <v>776</v>
      </c>
      <c r="B570" s="75" t="s">
        <v>801</v>
      </c>
      <c r="C570" s="25"/>
      <c r="D570" s="92">
        <v>25</v>
      </c>
      <c r="E570" s="110">
        <v>70</v>
      </c>
      <c r="F570" s="93">
        <f t="shared" si="302"/>
        <v>1750</v>
      </c>
      <c r="G570" s="74">
        <f t="shared" si="299"/>
        <v>0</v>
      </c>
      <c r="H570" s="95">
        <f t="shared" si="297"/>
        <v>1750</v>
      </c>
      <c r="I570" s="112"/>
      <c r="J570" s="57">
        <f t="shared" si="303"/>
        <v>1750</v>
      </c>
      <c r="K570" s="57"/>
      <c r="L570" s="57"/>
      <c r="M570" s="57"/>
      <c r="N570" s="57"/>
      <c r="O570" s="57"/>
      <c r="P570" s="68"/>
      <c r="Q570" s="58"/>
      <c r="R570" s="170">
        <f t="shared" si="304"/>
        <v>0</v>
      </c>
      <c r="S570" s="89">
        <f t="shared" si="286"/>
        <v>0</v>
      </c>
      <c r="T570" s="216">
        <f t="shared" si="287"/>
        <v>0</v>
      </c>
      <c r="U570" s="147"/>
      <c r="V570" s="148">
        <f t="shared" si="305"/>
        <v>0</v>
      </c>
      <c r="W570" s="148"/>
      <c r="X570" s="148"/>
      <c r="Y570" s="148"/>
      <c r="Z570" s="148"/>
      <c r="AA570" s="148"/>
      <c r="AB570" s="149"/>
      <c r="AC570" s="150"/>
      <c r="AD570" s="76"/>
      <c r="AE570" s="76"/>
      <c r="AF570" s="128"/>
    </row>
    <row r="571" spans="1:32" outlineLevel="1" x14ac:dyDescent="0.25">
      <c r="A571" s="4" t="s">
        <v>777</v>
      </c>
      <c r="B571" s="75" t="s">
        <v>802</v>
      </c>
      <c r="C571" s="25"/>
      <c r="D571" s="92">
        <v>25</v>
      </c>
      <c r="E571" s="110">
        <v>70</v>
      </c>
      <c r="F571" s="93">
        <f t="shared" si="302"/>
        <v>1750</v>
      </c>
      <c r="G571" s="74">
        <f t="shared" si="299"/>
        <v>0</v>
      </c>
      <c r="H571" s="95">
        <f t="shared" si="297"/>
        <v>1750</v>
      </c>
      <c r="I571" s="112"/>
      <c r="J571" s="57">
        <f t="shared" si="303"/>
        <v>1750</v>
      </c>
      <c r="K571" s="57"/>
      <c r="L571" s="57"/>
      <c r="M571" s="57"/>
      <c r="N571" s="57"/>
      <c r="O571" s="57"/>
      <c r="P571" s="68"/>
      <c r="Q571" s="58"/>
      <c r="R571" s="170">
        <f t="shared" si="304"/>
        <v>0</v>
      </c>
      <c r="S571" s="89">
        <f t="shared" si="286"/>
        <v>0</v>
      </c>
      <c r="T571" s="216">
        <f t="shared" si="287"/>
        <v>0</v>
      </c>
      <c r="U571" s="147"/>
      <c r="V571" s="148">
        <f t="shared" si="305"/>
        <v>0</v>
      </c>
      <c r="W571" s="148"/>
      <c r="X571" s="148"/>
      <c r="Y571" s="148"/>
      <c r="Z571" s="148"/>
      <c r="AA571" s="148"/>
      <c r="AB571" s="149"/>
      <c r="AC571" s="150"/>
      <c r="AD571" s="76"/>
      <c r="AE571" s="76"/>
      <c r="AF571" s="128"/>
    </row>
    <row r="572" spans="1:32" outlineLevel="1" x14ac:dyDescent="0.25">
      <c r="A572" s="4" t="s">
        <v>778</v>
      </c>
      <c r="B572" s="75" t="s">
        <v>803</v>
      </c>
      <c r="C572" s="25"/>
      <c r="D572" s="92">
        <v>25</v>
      </c>
      <c r="E572" s="110">
        <v>70</v>
      </c>
      <c r="F572" s="93">
        <f t="shared" si="302"/>
        <v>1750</v>
      </c>
      <c r="G572" s="74">
        <f t="shared" si="299"/>
        <v>0</v>
      </c>
      <c r="H572" s="95">
        <f t="shared" si="297"/>
        <v>1750</v>
      </c>
      <c r="I572" s="112"/>
      <c r="J572" s="57">
        <f t="shared" si="303"/>
        <v>1750</v>
      </c>
      <c r="K572" s="57"/>
      <c r="L572" s="57"/>
      <c r="M572" s="57"/>
      <c r="N572" s="57"/>
      <c r="O572" s="57"/>
      <c r="P572" s="68"/>
      <c r="Q572" s="58"/>
      <c r="R572" s="170">
        <f t="shared" si="304"/>
        <v>0</v>
      </c>
      <c r="S572" s="89">
        <f t="shared" si="286"/>
        <v>0</v>
      </c>
      <c r="T572" s="216">
        <f t="shared" si="287"/>
        <v>0</v>
      </c>
      <c r="U572" s="147"/>
      <c r="V572" s="148">
        <f t="shared" si="305"/>
        <v>0</v>
      </c>
      <c r="W572" s="148"/>
      <c r="X572" s="148"/>
      <c r="Y572" s="148"/>
      <c r="Z572" s="148"/>
      <c r="AA572" s="148"/>
      <c r="AB572" s="149"/>
      <c r="AC572" s="150"/>
      <c r="AD572" s="76"/>
      <c r="AE572" s="76"/>
      <c r="AF572" s="128"/>
    </row>
    <row r="573" spans="1:32" outlineLevel="1" x14ac:dyDescent="0.25">
      <c r="A573" s="4" t="s">
        <v>779</v>
      </c>
      <c r="B573" s="75" t="s">
        <v>992</v>
      </c>
      <c r="C573" s="25"/>
      <c r="D573" s="92">
        <v>1</v>
      </c>
      <c r="E573" s="110">
        <v>1000</v>
      </c>
      <c r="F573" s="93">
        <f t="shared" si="302"/>
        <v>1000</v>
      </c>
      <c r="G573" s="74">
        <f t="shared" si="299"/>
        <v>0</v>
      </c>
      <c r="H573" s="95">
        <f t="shared" si="297"/>
        <v>1000</v>
      </c>
      <c r="I573" s="112">
        <v>1000</v>
      </c>
      <c r="J573" s="57"/>
      <c r="K573" s="57"/>
      <c r="L573" s="57"/>
      <c r="M573" s="57"/>
      <c r="N573" s="57"/>
      <c r="O573" s="57"/>
      <c r="P573" s="68"/>
      <c r="Q573" s="58"/>
      <c r="R573" s="170">
        <f t="shared" si="304"/>
        <v>0</v>
      </c>
      <c r="S573" s="89">
        <f t="shared" si="286"/>
        <v>0</v>
      </c>
      <c r="T573" s="216">
        <f t="shared" si="287"/>
        <v>0</v>
      </c>
      <c r="U573" s="147"/>
      <c r="V573" s="148"/>
      <c r="W573" s="148"/>
      <c r="X573" s="148"/>
      <c r="Y573" s="148"/>
      <c r="Z573" s="148"/>
      <c r="AA573" s="148"/>
      <c r="AB573" s="149"/>
      <c r="AC573" s="150"/>
      <c r="AD573" s="76"/>
      <c r="AE573" s="76"/>
      <c r="AF573" s="128"/>
    </row>
    <row r="574" spans="1:32" outlineLevel="1" x14ac:dyDescent="0.25">
      <c r="A574" s="4" t="s">
        <v>780</v>
      </c>
      <c r="B574" s="75" t="s">
        <v>47</v>
      </c>
      <c r="C574" s="25"/>
      <c r="D574" s="92"/>
      <c r="E574" s="110"/>
      <c r="F574" s="93">
        <f t="shared" si="302"/>
        <v>0</v>
      </c>
      <c r="G574" s="74">
        <f t="shared" si="299"/>
        <v>0</v>
      </c>
      <c r="H574" s="95">
        <f t="shared" si="297"/>
        <v>0</v>
      </c>
      <c r="I574" s="112"/>
      <c r="J574" s="57">
        <f t="shared" si="303"/>
        <v>0</v>
      </c>
      <c r="K574" s="57"/>
      <c r="L574" s="57"/>
      <c r="M574" s="57"/>
      <c r="N574" s="57"/>
      <c r="O574" s="57"/>
      <c r="P574" s="68"/>
      <c r="Q574" s="58"/>
      <c r="R574" s="170">
        <v>1713.56</v>
      </c>
      <c r="S574" s="89">
        <f t="shared" si="286"/>
        <v>-1713.56</v>
      </c>
      <c r="T574" s="216">
        <f t="shared" si="287"/>
        <v>0</v>
      </c>
      <c r="U574" s="147"/>
      <c r="V574" s="148"/>
      <c r="W574" s="148"/>
      <c r="X574" s="148"/>
      <c r="Y574" s="148"/>
      <c r="Z574" s="148"/>
      <c r="AA574" s="148"/>
      <c r="AB574" s="149"/>
      <c r="AC574" s="150"/>
      <c r="AD574" s="76"/>
      <c r="AE574" s="76"/>
      <c r="AF574" s="128"/>
    </row>
    <row r="575" spans="1:32" s="3" customFormat="1" ht="15.75" x14ac:dyDescent="0.25">
      <c r="A575" s="7" t="s">
        <v>633</v>
      </c>
      <c r="B575" s="13" t="s">
        <v>250</v>
      </c>
      <c r="C575" s="23"/>
      <c r="D575" s="24"/>
      <c r="E575" s="17"/>
      <c r="F575" s="82">
        <f>SUM(F576:F578)</f>
        <v>6125</v>
      </c>
      <c r="G575" s="89">
        <f t="shared" si="299"/>
        <v>0</v>
      </c>
      <c r="H575" s="18">
        <f t="shared" si="297"/>
        <v>6125</v>
      </c>
      <c r="I575" s="54">
        <f t="shared" ref="I575:Q575" si="306">SUM(I576:I578)</f>
        <v>6125</v>
      </c>
      <c r="J575" s="55">
        <f t="shared" si="306"/>
        <v>0</v>
      </c>
      <c r="K575" s="55">
        <f t="shared" si="306"/>
        <v>0</v>
      </c>
      <c r="L575" s="55">
        <f t="shared" si="306"/>
        <v>0</v>
      </c>
      <c r="M575" s="55">
        <f t="shared" si="306"/>
        <v>0</v>
      </c>
      <c r="N575" s="55">
        <f t="shared" si="306"/>
        <v>0</v>
      </c>
      <c r="O575" s="55">
        <f t="shared" si="306"/>
        <v>0</v>
      </c>
      <c r="P575" s="55">
        <f t="shared" si="306"/>
        <v>0</v>
      </c>
      <c r="Q575" s="56">
        <f t="shared" si="306"/>
        <v>0</v>
      </c>
      <c r="R575" s="169">
        <f>SUM(R576:R578)</f>
        <v>0</v>
      </c>
      <c r="S575" s="89">
        <f t="shared" si="286"/>
        <v>0</v>
      </c>
      <c r="T575" s="216">
        <f t="shared" si="287"/>
        <v>0</v>
      </c>
      <c r="U575" s="144">
        <f>SUM(U576:U578)</f>
        <v>0</v>
      </c>
      <c r="V575" s="145">
        <f t="shared" ref="V575:AC575" si="307">SUM(V576:V578)</f>
        <v>0</v>
      </c>
      <c r="W575" s="145">
        <f t="shared" si="307"/>
        <v>0</v>
      </c>
      <c r="X575" s="145">
        <f t="shared" si="307"/>
        <v>0</v>
      </c>
      <c r="Y575" s="145">
        <f t="shared" si="307"/>
        <v>0</v>
      </c>
      <c r="Z575" s="145">
        <f t="shared" si="307"/>
        <v>0</v>
      </c>
      <c r="AA575" s="145">
        <f t="shared" si="307"/>
        <v>0</v>
      </c>
      <c r="AB575" s="145">
        <f t="shared" si="307"/>
        <v>0</v>
      </c>
      <c r="AC575" s="146">
        <f t="shared" si="307"/>
        <v>0</v>
      </c>
      <c r="AD575" s="33">
        <v>16061</v>
      </c>
      <c r="AE575" s="33">
        <f>7715.28+1142.69+5053.52+126.07+312+200+42.25+18.68</f>
        <v>14610.49</v>
      </c>
      <c r="AF575" s="127">
        <f>AE575*100/AD575</f>
        <v>90.96874416287902</v>
      </c>
    </row>
    <row r="576" spans="1:32" outlineLevel="1" x14ac:dyDescent="0.25">
      <c r="A576" s="4" t="s">
        <v>634</v>
      </c>
      <c r="B576" s="75" t="s">
        <v>813</v>
      </c>
      <c r="C576" s="25"/>
      <c r="D576" s="92">
        <v>5</v>
      </c>
      <c r="E576" s="110">
        <v>25</v>
      </c>
      <c r="F576" s="93">
        <f>D576*E576</f>
        <v>125</v>
      </c>
      <c r="G576" s="74">
        <f t="shared" si="299"/>
        <v>0</v>
      </c>
      <c r="H576" s="95">
        <f t="shared" si="297"/>
        <v>125</v>
      </c>
      <c r="I576" s="112">
        <f>F576</f>
        <v>125</v>
      </c>
      <c r="J576" s="57"/>
      <c r="K576" s="57"/>
      <c r="L576" s="57"/>
      <c r="M576" s="57"/>
      <c r="N576" s="57"/>
      <c r="O576" s="57"/>
      <c r="P576" s="68"/>
      <c r="Q576" s="58"/>
      <c r="R576" s="170">
        <f>P576*Q576</f>
        <v>0</v>
      </c>
      <c r="S576" s="89">
        <f t="shared" si="286"/>
        <v>0</v>
      </c>
      <c r="T576" s="216">
        <f t="shared" si="287"/>
        <v>0</v>
      </c>
      <c r="U576" s="147">
        <f>Q576</f>
        <v>0</v>
      </c>
      <c r="V576" s="148"/>
      <c r="W576" s="148"/>
      <c r="X576" s="148"/>
      <c r="Y576" s="148"/>
      <c r="Z576" s="148"/>
      <c r="AA576" s="148"/>
      <c r="AB576" s="149"/>
      <c r="AC576" s="150"/>
      <c r="AD576" s="76"/>
      <c r="AE576" s="76"/>
      <c r="AF576" s="128"/>
    </row>
    <row r="577" spans="1:32" outlineLevel="1" x14ac:dyDescent="0.25">
      <c r="A577" s="4" t="s">
        <v>635</v>
      </c>
      <c r="B577" s="75" t="s">
        <v>837</v>
      </c>
      <c r="C577" s="25"/>
      <c r="D577" s="92">
        <v>1</v>
      </c>
      <c r="E577" s="110">
        <v>6000</v>
      </c>
      <c r="F577" s="93">
        <f>D577*E577</f>
        <v>6000</v>
      </c>
      <c r="G577" s="74">
        <f t="shared" si="299"/>
        <v>0</v>
      </c>
      <c r="H577" s="95">
        <f t="shared" si="297"/>
        <v>6000</v>
      </c>
      <c r="I577" s="112">
        <v>6000</v>
      </c>
      <c r="J577" s="57"/>
      <c r="K577" s="57"/>
      <c r="L577" s="57"/>
      <c r="M577" s="57"/>
      <c r="N577" s="57"/>
      <c r="O577" s="57"/>
      <c r="P577" s="68"/>
      <c r="Q577" s="58"/>
      <c r="R577" s="170">
        <f>P577*Q577</f>
        <v>0</v>
      </c>
      <c r="S577" s="89">
        <f t="shared" si="286"/>
        <v>0</v>
      </c>
      <c r="T577" s="216">
        <f t="shared" si="287"/>
        <v>0</v>
      </c>
      <c r="U577" s="147"/>
      <c r="V577" s="148"/>
      <c r="W577" s="148"/>
      <c r="X577" s="148"/>
      <c r="Y577" s="148"/>
      <c r="Z577" s="148"/>
      <c r="AA577" s="148"/>
      <c r="AB577" s="149"/>
      <c r="AC577" s="150"/>
      <c r="AD577" s="76"/>
      <c r="AE577" s="76"/>
      <c r="AF577" s="128"/>
    </row>
    <row r="578" spans="1:32" outlineLevel="1" x14ac:dyDescent="0.25">
      <c r="A578" s="4" t="s">
        <v>636</v>
      </c>
      <c r="B578" s="75" t="s">
        <v>47</v>
      </c>
      <c r="C578" s="25"/>
      <c r="D578" s="92"/>
      <c r="E578" s="110"/>
      <c r="F578" s="93">
        <f>D578*E578</f>
        <v>0</v>
      </c>
      <c r="G578" s="74">
        <f>H578-F578</f>
        <v>0</v>
      </c>
      <c r="H578" s="95">
        <f t="shared" si="297"/>
        <v>0</v>
      </c>
      <c r="I578" s="112"/>
      <c r="J578" s="57"/>
      <c r="K578" s="57"/>
      <c r="L578" s="57"/>
      <c r="M578" s="57"/>
      <c r="N578" s="57"/>
      <c r="O578" s="57"/>
      <c r="P578" s="68"/>
      <c r="Q578" s="58"/>
      <c r="R578" s="170">
        <f>P578*Q578</f>
        <v>0</v>
      </c>
      <c r="S578" s="89">
        <f t="shared" si="286"/>
        <v>0</v>
      </c>
      <c r="T578" s="216">
        <f t="shared" si="287"/>
        <v>0</v>
      </c>
      <c r="U578" s="147"/>
      <c r="V578" s="148"/>
      <c r="W578" s="148"/>
      <c r="X578" s="148"/>
      <c r="Y578" s="148"/>
      <c r="Z578" s="148"/>
      <c r="AA578" s="148"/>
      <c r="AB578" s="149"/>
      <c r="AC578" s="150"/>
      <c r="AD578" s="76"/>
      <c r="AE578" s="76"/>
      <c r="AF578" s="128"/>
    </row>
    <row r="579" spans="1:32" s="3" customFormat="1" ht="15.75" x14ac:dyDescent="0.25">
      <c r="A579" s="7" t="s">
        <v>639</v>
      </c>
      <c r="B579" s="13" t="s">
        <v>495</v>
      </c>
      <c r="C579" s="23"/>
      <c r="D579" s="24"/>
      <c r="E579" s="17"/>
      <c r="F579" s="82">
        <f>SUM(F580:F580)</f>
        <v>8550</v>
      </c>
      <c r="G579" s="89">
        <f>H579-F579</f>
        <v>0</v>
      </c>
      <c r="H579" s="18">
        <f t="shared" si="297"/>
        <v>8550</v>
      </c>
      <c r="I579" s="54">
        <f t="shared" ref="I579:AC579" si="308">SUM(I580:I580)</f>
        <v>0</v>
      </c>
      <c r="J579" s="55">
        <f t="shared" si="308"/>
        <v>8550</v>
      </c>
      <c r="K579" s="55">
        <f t="shared" si="308"/>
        <v>0</v>
      </c>
      <c r="L579" s="55">
        <f t="shared" si="308"/>
        <v>0</v>
      </c>
      <c r="M579" s="55">
        <f t="shared" si="308"/>
        <v>0</v>
      </c>
      <c r="N579" s="55">
        <f t="shared" si="308"/>
        <v>0</v>
      </c>
      <c r="O579" s="55">
        <f t="shared" si="308"/>
        <v>0</v>
      </c>
      <c r="P579" s="55">
        <f t="shared" si="308"/>
        <v>0</v>
      </c>
      <c r="Q579" s="56">
        <f t="shared" si="308"/>
        <v>0</v>
      </c>
      <c r="R579" s="169">
        <f>SUM(R580:R580)</f>
        <v>0</v>
      </c>
      <c r="S579" s="89">
        <f t="shared" si="286"/>
        <v>0</v>
      </c>
      <c r="T579" s="216">
        <f t="shared" si="287"/>
        <v>0</v>
      </c>
      <c r="U579" s="144">
        <f t="shared" si="308"/>
        <v>0</v>
      </c>
      <c r="V579" s="145">
        <f t="shared" si="308"/>
        <v>0</v>
      </c>
      <c r="W579" s="145">
        <f t="shared" si="308"/>
        <v>0</v>
      </c>
      <c r="X579" s="145">
        <f t="shared" si="308"/>
        <v>0</v>
      </c>
      <c r="Y579" s="145">
        <f t="shared" si="308"/>
        <v>0</v>
      </c>
      <c r="Z579" s="145">
        <f t="shared" si="308"/>
        <v>0</v>
      </c>
      <c r="AA579" s="145">
        <f t="shared" si="308"/>
        <v>0</v>
      </c>
      <c r="AB579" s="145">
        <f t="shared" si="308"/>
        <v>0</v>
      </c>
      <c r="AC579" s="146">
        <f t="shared" si="308"/>
        <v>0</v>
      </c>
      <c r="AD579" s="33">
        <v>10100</v>
      </c>
      <c r="AE579" s="33">
        <v>10100</v>
      </c>
      <c r="AF579" s="127">
        <f>AE579*100/AD579</f>
        <v>100</v>
      </c>
    </row>
    <row r="580" spans="1:32" ht="15.75" outlineLevel="1" thickBot="1" x14ac:dyDescent="0.3">
      <c r="A580" s="130" t="s">
        <v>640</v>
      </c>
      <c r="B580" s="43" t="s">
        <v>495</v>
      </c>
      <c r="C580" s="44"/>
      <c r="D580" s="45">
        <v>1</v>
      </c>
      <c r="E580" s="46">
        <v>8550</v>
      </c>
      <c r="F580" s="87">
        <f>D580*E580</f>
        <v>8550</v>
      </c>
      <c r="G580" s="91">
        <f>H580-F580</f>
        <v>0</v>
      </c>
      <c r="H580" s="47">
        <f t="shared" si="297"/>
        <v>8550</v>
      </c>
      <c r="I580" s="63"/>
      <c r="J580" s="64">
        <f>F580</f>
        <v>8550</v>
      </c>
      <c r="K580" s="64"/>
      <c r="L580" s="64"/>
      <c r="M580" s="64"/>
      <c r="N580" s="64"/>
      <c r="O580" s="64"/>
      <c r="P580" s="70"/>
      <c r="Q580" s="65"/>
      <c r="R580" s="174">
        <f>P580*Q580</f>
        <v>0</v>
      </c>
      <c r="S580" s="89">
        <f t="shared" si="286"/>
        <v>0</v>
      </c>
      <c r="T580" s="216">
        <f t="shared" si="287"/>
        <v>0</v>
      </c>
      <c r="U580" s="159"/>
      <c r="V580" s="160">
        <f>O580</f>
        <v>0</v>
      </c>
      <c r="W580" s="160"/>
      <c r="X580" s="160"/>
      <c r="Y580" s="160"/>
      <c r="Z580" s="160"/>
      <c r="AA580" s="160"/>
      <c r="AB580" s="161"/>
      <c r="AC580" s="162"/>
      <c r="AD580" s="77"/>
      <c r="AE580" s="77"/>
      <c r="AF580" s="131"/>
    </row>
    <row r="581" spans="1:32" ht="15.75" thickTop="1" x14ac:dyDescent="0.25"/>
  </sheetData>
  <mergeCells count="4">
    <mergeCell ref="C1:F1"/>
    <mergeCell ref="I1:Q1"/>
    <mergeCell ref="AD1:AF1"/>
    <mergeCell ref="S1:AC1"/>
  </mergeCells>
  <pageMargins left="0.70866141732283472" right="0.70866141732283472" top="0.15748031496062992" bottom="0.15748031496062992" header="0.31496062992125984" footer="0.31496062992125984"/>
  <pageSetup paperSize="9" scale="60" fitToHeight="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V596"/>
  <sheetViews>
    <sheetView workbookViewId="0">
      <selection activeCell="B1" sqref="B1:AD1048576"/>
    </sheetView>
  </sheetViews>
  <sheetFormatPr defaultColWidth="9.140625" defaultRowHeight="15" outlineLevelRow="1" x14ac:dyDescent="0.25"/>
  <cols>
    <col min="1" max="1" width="11" style="1" bestFit="1" customWidth="1"/>
    <col min="2" max="2" width="52" customWidth="1"/>
    <col min="3" max="3" width="26.28515625" customWidth="1"/>
    <col min="4" max="4" width="5.28515625" customWidth="1"/>
    <col min="5" max="5" width="9.140625" customWidth="1"/>
    <col min="6" max="6" width="15.7109375" customWidth="1"/>
    <col min="7" max="7" width="9.5703125" style="66" customWidth="1"/>
    <col min="8" max="8" width="15.7109375" customWidth="1"/>
    <col min="9" max="9" width="10.140625" style="66" customWidth="1"/>
    <col min="10" max="10" width="10.28515625" style="66" customWidth="1"/>
    <col min="11" max="11" width="10.42578125" style="66" customWidth="1"/>
    <col min="12" max="12" width="11.7109375" style="66" customWidth="1"/>
    <col min="13" max="14" width="10" style="66" customWidth="1"/>
    <col min="15" max="16" width="9.7109375" style="66" customWidth="1"/>
    <col min="17" max="17" width="8.7109375" style="66" customWidth="1"/>
    <col min="18" max="18" width="15.7109375" customWidth="1"/>
    <col min="19" max="19" width="9.5703125" style="66" customWidth="1"/>
    <col min="20" max="20" width="15.7109375" customWidth="1"/>
    <col min="21" max="21" width="10.140625" style="66" customWidth="1"/>
    <col min="22" max="22" width="10.28515625" style="66" customWidth="1"/>
    <col min="23" max="23" width="10.42578125" style="66" customWidth="1"/>
    <col min="24" max="24" width="11.7109375" style="66" customWidth="1"/>
    <col min="25" max="26" width="10" style="66" customWidth="1"/>
    <col min="27" max="28" width="9.7109375" style="66" customWidth="1"/>
    <col min="29" max="29" width="8.7109375" style="66" customWidth="1"/>
    <col min="30" max="30" width="15.7109375" style="175" customWidth="1"/>
    <col min="31" max="31" width="13.140625" style="66" customWidth="1"/>
    <col min="32" max="41" width="13.140625" style="163" customWidth="1"/>
    <col min="42" max="42" width="20.28515625" hidden="1" customWidth="1"/>
    <col min="43" max="43" width="20.140625" hidden="1" customWidth="1"/>
    <col min="44" max="44" width="15.7109375" hidden="1" customWidth="1"/>
    <col min="45" max="46" width="9.28515625" bestFit="1" customWidth="1"/>
    <col min="47" max="48" width="11.28515625" bestFit="1" customWidth="1"/>
  </cols>
  <sheetData>
    <row r="1" spans="1:48" ht="15.75" thickTop="1" x14ac:dyDescent="0.25">
      <c r="A1" s="34"/>
      <c r="B1" s="35"/>
      <c r="C1" s="245" t="s">
        <v>1020</v>
      </c>
      <c r="D1" s="245"/>
      <c r="E1" s="245"/>
      <c r="F1" s="246"/>
      <c r="G1" s="247" t="s">
        <v>92</v>
      </c>
      <c r="H1" s="248"/>
      <c r="I1" s="586" t="s">
        <v>1021</v>
      </c>
      <c r="J1" s="587"/>
      <c r="K1" s="587"/>
      <c r="L1" s="587"/>
      <c r="M1" s="587"/>
      <c r="N1" s="587"/>
      <c r="O1" s="587"/>
      <c r="P1" s="588"/>
      <c r="Q1" s="589"/>
      <c r="R1" s="590" t="s">
        <v>1022</v>
      </c>
      <c r="S1" s="591"/>
      <c r="T1" s="591"/>
      <c r="U1" s="591"/>
      <c r="V1" s="591"/>
      <c r="W1" s="591"/>
      <c r="X1" s="591"/>
      <c r="Y1" s="591"/>
      <c r="Z1" s="591"/>
      <c r="AA1" s="591"/>
      <c r="AB1" s="591"/>
      <c r="AC1" s="592"/>
      <c r="AD1" s="593" t="s">
        <v>1023</v>
      </c>
      <c r="AE1" s="594"/>
      <c r="AF1" s="594"/>
      <c r="AG1" s="594"/>
      <c r="AH1" s="594"/>
      <c r="AI1" s="594"/>
      <c r="AJ1" s="594"/>
      <c r="AK1" s="594"/>
      <c r="AL1" s="594"/>
      <c r="AM1" s="594"/>
      <c r="AN1" s="594"/>
      <c r="AO1" s="595"/>
      <c r="AP1" s="577">
        <v>2014</v>
      </c>
      <c r="AQ1" s="579"/>
      <c r="AR1" s="581"/>
    </row>
    <row r="2" spans="1:48" ht="45" x14ac:dyDescent="0.25">
      <c r="A2" s="9" t="s">
        <v>7</v>
      </c>
      <c r="B2" s="11" t="s">
        <v>8</v>
      </c>
      <c r="C2" s="20" t="s">
        <v>94</v>
      </c>
      <c r="D2" s="10" t="s">
        <v>89</v>
      </c>
      <c r="E2" s="10" t="s">
        <v>90</v>
      </c>
      <c r="F2" s="31" t="s">
        <v>93</v>
      </c>
      <c r="G2" s="88" t="s">
        <v>690</v>
      </c>
      <c r="H2" s="19" t="s">
        <v>91</v>
      </c>
      <c r="I2" s="78" t="s">
        <v>44</v>
      </c>
      <c r="J2" s="79" t="s">
        <v>88</v>
      </c>
      <c r="K2" s="79" t="s">
        <v>45</v>
      </c>
      <c r="L2" s="79" t="s">
        <v>46</v>
      </c>
      <c r="M2" s="79" t="s">
        <v>885</v>
      </c>
      <c r="N2" s="79" t="s">
        <v>60</v>
      </c>
      <c r="O2" s="79" t="s">
        <v>886</v>
      </c>
      <c r="P2" s="71" t="s">
        <v>693</v>
      </c>
      <c r="Q2" s="80" t="s">
        <v>47</v>
      </c>
      <c r="R2" s="31" t="s">
        <v>93</v>
      </c>
      <c r="S2" s="88" t="s">
        <v>690</v>
      </c>
      <c r="T2" s="19" t="s">
        <v>91</v>
      </c>
      <c r="U2" s="78" t="s">
        <v>44</v>
      </c>
      <c r="V2" s="79" t="s">
        <v>88</v>
      </c>
      <c r="W2" s="79" t="s">
        <v>45</v>
      </c>
      <c r="X2" s="79" t="s">
        <v>46</v>
      </c>
      <c r="Y2" s="79" t="s">
        <v>885</v>
      </c>
      <c r="Z2" s="79" t="s">
        <v>60</v>
      </c>
      <c r="AA2" s="79" t="s">
        <v>886</v>
      </c>
      <c r="AB2" s="71" t="s">
        <v>693</v>
      </c>
      <c r="AC2" s="80" t="s">
        <v>47</v>
      </c>
      <c r="AD2" s="165" t="s">
        <v>93</v>
      </c>
      <c r="AE2" s="88" t="s">
        <v>690</v>
      </c>
      <c r="AF2" s="136" t="s">
        <v>1019</v>
      </c>
      <c r="AG2" s="136" t="s">
        <v>44</v>
      </c>
      <c r="AH2" s="137" t="s">
        <v>88</v>
      </c>
      <c r="AI2" s="137" t="s">
        <v>45</v>
      </c>
      <c r="AJ2" s="137" t="s">
        <v>46</v>
      </c>
      <c r="AK2" s="137" t="s">
        <v>885</v>
      </c>
      <c r="AL2" s="137" t="s">
        <v>60</v>
      </c>
      <c r="AM2" s="137" t="s">
        <v>886</v>
      </c>
      <c r="AN2" s="138" t="s">
        <v>693</v>
      </c>
      <c r="AO2" s="139" t="s">
        <v>47</v>
      </c>
      <c r="AP2" s="31" t="s">
        <v>689</v>
      </c>
      <c r="AQ2" s="31" t="s">
        <v>969</v>
      </c>
      <c r="AR2" s="123" t="s">
        <v>970</v>
      </c>
      <c r="AS2" s="250" t="s">
        <v>1160</v>
      </c>
      <c r="AT2" s="250" t="s">
        <v>1162</v>
      </c>
      <c r="AU2" s="250" t="s">
        <v>1160</v>
      </c>
      <c r="AV2" s="250" t="s">
        <v>1162</v>
      </c>
    </row>
    <row r="3" spans="1:48" ht="24" x14ac:dyDescent="0.35">
      <c r="A3" s="96"/>
      <c r="B3" s="97"/>
      <c r="C3" s="98"/>
      <c r="D3" s="99"/>
      <c r="E3" s="99"/>
      <c r="F3" s="100"/>
      <c r="G3" s="101"/>
      <c r="H3" s="41"/>
      <c r="I3" s="102"/>
      <c r="J3" s="103"/>
      <c r="K3" s="103"/>
      <c r="L3" s="103"/>
      <c r="M3" s="103"/>
      <c r="N3" s="103"/>
      <c r="O3" s="103"/>
      <c r="P3" s="104"/>
      <c r="Q3" s="217" t="s">
        <v>953</v>
      </c>
      <c r="R3" s="100"/>
      <c r="S3" s="101"/>
      <c r="T3" s="41"/>
      <c r="U3" s="102"/>
      <c r="V3" s="103"/>
      <c r="W3" s="103"/>
      <c r="X3" s="103"/>
      <c r="Y3" s="103"/>
      <c r="Z3" s="103"/>
      <c r="AA3" s="103"/>
      <c r="AB3" s="104"/>
      <c r="AC3" s="217"/>
      <c r="AD3" s="166"/>
      <c r="AE3" s="101"/>
      <c r="AF3" s="216">
        <f>+AG3+AH3+AI3+AJ3+AK3+AL3+AM3+AN3</f>
        <v>1662389</v>
      </c>
      <c r="AG3" s="140">
        <v>582000</v>
      </c>
      <c r="AH3" s="141">
        <f>478525+47164+2300</f>
        <v>527989</v>
      </c>
      <c r="AI3" s="141">
        <f>326000*0.85</f>
        <v>277100</v>
      </c>
      <c r="AJ3" s="141">
        <f>228000*0.85</f>
        <v>193800</v>
      </c>
      <c r="AK3" s="141">
        <v>20000</v>
      </c>
      <c r="AL3" s="141">
        <v>50000</v>
      </c>
      <c r="AM3" s="141">
        <v>11500</v>
      </c>
      <c r="AN3" s="142"/>
      <c r="AO3" s="143" t="s">
        <v>953</v>
      </c>
      <c r="AP3" s="100"/>
      <c r="AQ3" s="100"/>
      <c r="AR3" s="124"/>
      <c r="AS3" t="s">
        <v>1161</v>
      </c>
      <c r="AT3" t="s">
        <v>1161</v>
      </c>
      <c r="AU3" t="s">
        <v>1163</v>
      </c>
      <c r="AV3" t="s">
        <v>1163</v>
      </c>
    </row>
    <row r="4" spans="1:48" s="42" customFormat="1" ht="23.25" x14ac:dyDescent="0.35">
      <c r="A4" s="36"/>
      <c r="B4" s="37" t="s">
        <v>76</v>
      </c>
      <c r="C4" s="39"/>
      <c r="D4" s="40"/>
      <c r="E4" s="40"/>
      <c r="F4" s="83">
        <f>F5+F23+F37+F86+F151+F168+F217+F238+F262+F275+F329+F362+F383+F407+F440+F466+F494+F514+F532</f>
        <v>1972570.2</v>
      </c>
      <c r="G4" s="89">
        <f>H4-F4</f>
        <v>6634.5084807497915</v>
      </c>
      <c r="H4" s="41">
        <f t="shared" ref="H4:H57" si="0">SUM(I4:Q4)</f>
        <v>1979204.7084807497</v>
      </c>
      <c r="I4" s="48">
        <f t="shared" ref="I4:R4" si="1">I5+I23+I37+I86+I151+I168+I217+I238+I262+I275+I329+I362+I383+I407+I440+I466+I494+I514+I532</f>
        <v>593925.86199999996</v>
      </c>
      <c r="J4" s="49">
        <f t="shared" si="1"/>
        <v>551233</v>
      </c>
      <c r="K4" s="49">
        <f t="shared" si="1"/>
        <v>282687.07199999999</v>
      </c>
      <c r="L4" s="49">
        <f t="shared" si="1"/>
        <v>198879.65999999997</v>
      </c>
      <c r="M4" s="49">
        <f t="shared" si="1"/>
        <v>20575</v>
      </c>
      <c r="N4" s="49">
        <f t="shared" si="1"/>
        <v>53030</v>
      </c>
      <c r="O4" s="49">
        <f t="shared" si="1"/>
        <v>10400</v>
      </c>
      <c r="P4" s="49">
        <f t="shared" si="1"/>
        <v>209749.71448074997</v>
      </c>
      <c r="Q4" s="50">
        <f t="shared" si="1"/>
        <v>58724.4</v>
      </c>
      <c r="R4" s="83">
        <f t="shared" si="1"/>
        <v>1972570</v>
      </c>
      <c r="S4" s="89">
        <f>T4-R4</f>
        <v>2280.1925807497464</v>
      </c>
      <c r="T4" s="41">
        <f t="shared" ref="T4:T57" si="2">SUM(U4:AC4)</f>
        <v>1974850.1925807497</v>
      </c>
      <c r="U4" s="48">
        <f t="shared" ref="U4:AD4" si="3">U5+U23+U37+U86+U151+U168+U217+U238+U262+U275+U329+U362+U383+U407+U440+U466+U494+U514+U532</f>
        <v>593926.00199999998</v>
      </c>
      <c r="V4" s="49">
        <f t="shared" si="3"/>
        <v>551233</v>
      </c>
      <c r="W4" s="219">
        <f t="shared" si="3"/>
        <v>275173.55610000005</v>
      </c>
      <c r="X4" s="49">
        <f t="shared" si="3"/>
        <v>198879.65999999997</v>
      </c>
      <c r="Y4" s="219">
        <f t="shared" si="3"/>
        <v>23734.000000000015</v>
      </c>
      <c r="Z4" s="49">
        <f t="shared" si="3"/>
        <v>53030</v>
      </c>
      <c r="AA4" s="49">
        <f t="shared" si="3"/>
        <v>10400</v>
      </c>
      <c r="AB4" s="49">
        <f t="shared" si="3"/>
        <v>209749.57448074999</v>
      </c>
      <c r="AC4" s="50">
        <f t="shared" si="3"/>
        <v>58724.4</v>
      </c>
      <c r="AD4" s="251">
        <f t="shared" si="3"/>
        <v>434658.83833333344</v>
      </c>
      <c r="AE4" s="252">
        <f>AF4-AD4</f>
        <v>-5937.9683333334397</v>
      </c>
      <c r="AF4" s="253">
        <f>+AG4+AH4+AI4+AJ4+AK4+AL4+AM4+AN4+AO4</f>
        <v>428720.87</v>
      </c>
      <c r="AG4" s="254">
        <f t="shared" ref="AG4:AQ4" si="4">AG5+AG23+AG37+AG86+AG151+AG168+AG217+AG238+AG262+AG275+AG329+AG362+AG383+AG407+AG440+AG466+AG494+AG514+AG532</f>
        <v>233929</v>
      </c>
      <c r="AH4" s="254">
        <f t="shared" si="4"/>
        <v>106197.15</v>
      </c>
      <c r="AI4" s="254">
        <f t="shared" si="4"/>
        <v>69261</v>
      </c>
      <c r="AJ4" s="254">
        <f t="shared" si="4"/>
        <v>114.72</v>
      </c>
      <c r="AK4" s="254">
        <f t="shared" si="4"/>
        <v>0</v>
      </c>
      <c r="AL4" s="254">
        <f t="shared" si="4"/>
        <v>4958</v>
      </c>
      <c r="AM4" s="254">
        <f t="shared" si="4"/>
        <v>2468</v>
      </c>
      <c r="AN4" s="254">
        <f t="shared" si="4"/>
        <v>0</v>
      </c>
      <c r="AO4" s="254">
        <f t="shared" si="4"/>
        <v>11793</v>
      </c>
      <c r="AP4" s="38">
        <f t="shared" si="4"/>
        <v>2024250</v>
      </c>
      <c r="AQ4" s="38">
        <f t="shared" si="4"/>
        <v>1733713.22</v>
      </c>
      <c r="AR4" s="125">
        <f>AQ4*100/AP4</f>
        <v>85.647188835371125</v>
      </c>
      <c r="AS4" s="108">
        <f>+R4/F4</f>
        <v>0.99999989860943861</v>
      </c>
      <c r="AT4" s="249">
        <f>+T4/H4</f>
        <v>0.99779986583432168</v>
      </c>
      <c r="AU4" s="249">
        <f>+AD4/F4</f>
        <v>0.22035151820367835</v>
      </c>
      <c r="AV4" s="249">
        <f>+AF4/H4</f>
        <v>0.21661269709139327</v>
      </c>
    </row>
    <row r="5" spans="1:48" s="2" customFormat="1" ht="21" x14ac:dyDescent="0.35">
      <c r="A5" s="8" t="s">
        <v>325</v>
      </c>
      <c r="B5" s="12" t="s">
        <v>523</v>
      </c>
      <c r="C5" s="21"/>
      <c r="D5" s="22"/>
      <c r="E5" s="22"/>
      <c r="F5" s="84">
        <f>F6+F17</f>
        <v>242741</v>
      </c>
      <c r="G5" s="89">
        <f>H5-F5</f>
        <v>0</v>
      </c>
      <c r="H5" s="16">
        <f t="shared" si="0"/>
        <v>242741</v>
      </c>
      <c r="I5" s="51">
        <f>I6+I17</f>
        <v>236741</v>
      </c>
      <c r="J5" s="52">
        <f t="shared" ref="J5:Q5" si="5">J6+J17</f>
        <v>6000</v>
      </c>
      <c r="K5" s="52">
        <f t="shared" si="5"/>
        <v>0</v>
      </c>
      <c r="L5" s="52">
        <f t="shared" si="5"/>
        <v>0</v>
      </c>
      <c r="M5" s="52">
        <f t="shared" si="5"/>
        <v>0</v>
      </c>
      <c r="N5" s="52">
        <f t="shared" si="5"/>
        <v>0</v>
      </c>
      <c r="O5" s="52">
        <f t="shared" si="5"/>
        <v>0</v>
      </c>
      <c r="P5" s="52">
        <f t="shared" si="5"/>
        <v>0</v>
      </c>
      <c r="Q5" s="53">
        <f t="shared" si="5"/>
        <v>0</v>
      </c>
      <c r="R5" s="84">
        <f>R6+R17</f>
        <v>242741</v>
      </c>
      <c r="S5" s="89">
        <f>T5-R5</f>
        <v>0</v>
      </c>
      <c r="T5" s="16">
        <f t="shared" si="2"/>
        <v>242741</v>
      </c>
      <c r="U5" s="51">
        <f>U6+U17</f>
        <v>236741</v>
      </c>
      <c r="V5" s="52">
        <f t="shared" ref="V5:AC5" si="6">V6+V17</f>
        <v>6000</v>
      </c>
      <c r="W5" s="52">
        <f t="shared" si="6"/>
        <v>0</v>
      </c>
      <c r="X5" s="52">
        <f t="shared" si="6"/>
        <v>0</v>
      </c>
      <c r="Y5" s="52">
        <f t="shared" si="6"/>
        <v>0</v>
      </c>
      <c r="Z5" s="52">
        <f t="shared" si="6"/>
        <v>0</v>
      </c>
      <c r="AA5" s="52">
        <f t="shared" si="6"/>
        <v>0</v>
      </c>
      <c r="AB5" s="52">
        <f t="shared" si="6"/>
        <v>0</v>
      </c>
      <c r="AC5" s="53">
        <f t="shared" si="6"/>
        <v>0</v>
      </c>
      <c r="AD5" s="255">
        <f>AD6+AD17</f>
        <v>68938.923333333325</v>
      </c>
      <c r="AE5" s="256">
        <f t="shared" ref="AE5:AE68" si="7">AF5-AD5</f>
        <v>171295.07666666666</v>
      </c>
      <c r="AF5" s="257">
        <f t="shared" ref="AF5:AF68" si="8">+AG5+AH5+AI5+AJ5+AK5+AL5+AM5+AN5+AO5</f>
        <v>240234</v>
      </c>
      <c r="AG5" s="262">
        <v>233929</v>
      </c>
      <c r="AH5" s="262">
        <v>2116</v>
      </c>
      <c r="AI5" s="286">
        <f t="shared" ref="AI5:AN5" si="9">AI6+AI17</f>
        <v>0</v>
      </c>
      <c r="AJ5" s="286">
        <f t="shared" si="9"/>
        <v>0</v>
      </c>
      <c r="AK5" s="286">
        <f t="shared" si="9"/>
        <v>0</v>
      </c>
      <c r="AL5" s="286">
        <v>2544</v>
      </c>
      <c r="AM5" s="286">
        <f t="shared" si="9"/>
        <v>0</v>
      </c>
      <c r="AN5" s="286">
        <f t="shared" si="9"/>
        <v>0</v>
      </c>
      <c r="AO5" s="287">
        <v>1645</v>
      </c>
      <c r="AP5" s="32">
        <f>AP6+AP17</f>
        <v>217059</v>
      </c>
      <c r="AQ5" s="32">
        <f>AQ6+AQ17</f>
        <v>220446.15</v>
      </c>
      <c r="AR5" s="126">
        <f>AQ5*100/AP5</f>
        <v>101.56047434107776</v>
      </c>
      <c r="AS5" s="108">
        <f t="shared" ref="AS5:AS68" si="10">+R5/F5</f>
        <v>1</v>
      </c>
      <c r="AT5" s="249">
        <f t="shared" ref="AT5:AT68" si="11">+T5/H5</f>
        <v>1</v>
      </c>
      <c r="AU5" s="249">
        <f t="shared" ref="AU5:AU68" si="12">+AD5/F5</f>
        <v>0.284001974669847</v>
      </c>
      <c r="AV5" s="249">
        <f t="shared" ref="AV5:AV68" si="13">+AF5/H5</f>
        <v>0.98967211966664059</v>
      </c>
    </row>
    <row r="6" spans="1:48" s="280" customFormat="1" ht="15.75" x14ac:dyDescent="0.25">
      <c r="A6" s="270" t="s">
        <v>326</v>
      </c>
      <c r="B6" s="271" t="s">
        <v>327</v>
      </c>
      <c r="C6" s="272"/>
      <c r="D6" s="273"/>
      <c r="E6" s="274"/>
      <c r="F6" s="264">
        <f>SUM(F7:F16)</f>
        <v>52600</v>
      </c>
      <c r="G6" s="265">
        <f t="shared" ref="G6:G75" si="14">H6-F6</f>
        <v>0</v>
      </c>
      <c r="H6" s="275">
        <f t="shared" si="0"/>
        <v>52600</v>
      </c>
      <c r="I6" s="267">
        <f>SUM(I7:I16)</f>
        <v>52600</v>
      </c>
      <c r="J6" s="267">
        <f>SUM(J7:J14)</f>
        <v>0</v>
      </c>
      <c r="K6" s="267">
        <f>SUM(K7:K14)</f>
        <v>0</v>
      </c>
      <c r="L6" s="268">
        <f>SUM(L7:L14)</f>
        <v>0</v>
      </c>
      <c r="M6" s="268">
        <f>SUM(M7:M14)</f>
        <v>0</v>
      </c>
      <c r="N6" s="268">
        <f>SUM(N7:N16)</f>
        <v>0</v>
      </c>
      <c r="O6" s="268">
        <f>SUM(O7:O14)</f>
        <v>0</v>
      </c>
      <c r="P6" s="268">
        <f>SUM(P7:P14)</f>
        <v>0</v>
      </c>
      <c r="Q6" s="269">
        <f>SUM(Q7:Q14)</f>
        <v>0</v>
      </c>
      <c r="R6" s="264">
        <f>SUM(R7:R16)</f>
        <v>52600</v>
      </c>
      <c r="S6" s="265">
        <f t="shared" ref="S6:S47" si="15">T6-R6</f>
        <v>0</v>
      </c>
      <c r="T6" s="275">
        <f t="shared" si="2"/>
        <v>52600</v>
      </c>
      <c r="U6" s="267">
        <f>SUM(U7:U16)</f>
        <v>52600</v>
      </c>
      <c r="V6" s="267">
        <f>SUM(V7:V14)</f>
        <v>0</v>
      </c>
      <c r="W6" s="267">
        <f>SUM(W7:W14)</f>
        <v>0</v>
      </c>
      <c r="X6" s="268">
        <f>SUM(X7:X14)</f>
        <v>0</v>
      </c>
      <c r="Y6" s="268">
        <f>SUM(Y7:Y14)</f>
        <v>0</v>
      </c>
      <c r="Z6" s="268">
        <f>SUM(Z7:Z16)</f>
        <v>0</v>
      </c>
      <c r="AA6" s="268">
        <f>SUM(AA7:AA14)</f>
        <v>0</v>
      </c>
      <c r="AB6" s="268">
        <f>SUM(AB7:AB14)</f>
        <v>0</v>
      </c>
      <c r="AC6" s="269">
        <f>SUM(AC7:AC14)</f>
        <v>0</v>
      </c>
      <c r="AD6" s="264">
        <f>SUM(AD7:AD16)</f>
        <v>12259.823333333332</v>
      </c>
      <c r="AE6" s="265">
        <f t="shared" si="7"/>
        <v>-12259.823333333332</v>
      </c>
      <c r="AF6" s="266">
        <f t="shared" si="8"/>
        <v>0</v>
      </c>
      <c r="AG6" s="267">
        <f>SUM(AG7:AG16)</f>
        <v>0</v>
      </c>
      <c r="AH6" s="267">
        <f>SUM(AH7:AH14)</f>
        <v>0</v>
      </c>
      <c r="AI6" s="267">
        <f>SUM(AI7:AI14)</f>
        <v>0</v>
      </c>
      <c r="AJ6" s="268">
        <f>SUM(AJ7:AJ14)</f>
        <v>0</v>
      </c>
      <c r="AK6" s="268">
        <f>SUM(AK7:AK14)</f>
        <v>0</v>
      </c>
      <c r="AL6" s="268">
        <f>SUM(AL7:AL16)</f>
        <v>0</v>
      </c>
      <c r="AM6" s="268">
        <f>SUM(AM7:AM14)</f>
        <v>0</v>
      </c>
      <c r="AN6" s="268">
        <f>SUM(AN7:AN14)</f>
        <v>0</v>
      </c>
      <c r="AO6" s="269">
        <f>SUM(AO7:AO14)</f>
        <v>0</v>
      </c>
      <c r="AP6" s="276">
        <v>59786</v>
      </c>
      <c r="AQ6" s="276">
        <f>84838.95+46356.1+3128.1-73-69538.5</f>
        <v>64711.649999999994</v>
      </c>
      <c r="AR6" s="277">
        <f>AQ6*100/AP6</f>
        <v>108.23880172615661</v>
      </c>
      <c r="AS6" s="278">
        <f t="shared" si="10"/>
        <v>1</v>
      </c>
      <c r="AT6" s="279">
        <f t="shared" si="11"/>
        <v>1</v>
      </c>
      <c r="AU6" s="279">
        <f t="shared" si="12"/>
        <v>0.23307648922686944</v>
      </c>
      <c r="AV6" s="279">
        <f t="shared" si="13"/>
        <v>0</v>
      </c>
    </row>
    <row r="7" spans="1:48" outlineLevel="1" x14ac:dyDescent="0.25">
      <c r="A7" s="4" t="s">
        <v>329</v>
      </c>
      <c r="B7" s="75" t="s">
        <v>525</v>
      </c>
      <c r="C7" s="25"/>
      <c r="D7" s="92">
        <v>1</v>
      </c>
      <c r="E7" s="110">
        <v>15000</v>
      </c>
      <c r="F7" s="93">
        <f>D7*E7</f>
        <v>15000</v>
      </c>
      <c r="G7" s="74">
        <f t="shared" si="14"/>
        <v>0</v>
      </c>
      <c r="H7" s="95">
        <f t="shared" si="0"/>
        <v>15000</v>
      </c>
      <c r="I7" s="112">
        <f>F7</f>
        <v>15000</v>
      </c>
      <c r="J7" s="57"/>
      <c r="K7" s="57"/>
      <c r="L7" s="57"/>
      <c r="M7" s="57"/>
      <c r="N7" s="57"/>
      <c r="O7" s="57"/>
      <c r="P7" s="68"/>
      <c r="Q7" s="58"/>
      <c r="R7" s="93">
        <v>15000</v>
      </c>
      <c r="S7" s="74">
        <f t="shared" si="15"/>
        <v>0</v>
      </c>
      <c r="T7" s="95">
        <f t="shared" si="2"/>
        <v>15000</v>
      </c>
      <c r="U7" s="112">
        <f>R7</f>
        <v>15000</v>
      </c>
      <c r="V7" s="57"/>
      <c r="W7" s="57"/>
      <c r="X7" s="57"/>
      <c r="Y7" s="57"/>
      <c r="Z7" s="57"/>
      <c r="AA7" s="57"/>
      <c r="AB7" s="68"/>
      <c r="AC7" s="58"/>
      <c r="AD7" s="170">
        <f>16151.89/12*4</f>
        <v>5383.9633333333331</v>
      </c>
      <c r="AE7" s="89">
        <f t="shared" si="7"/>
        <v>-5383.9633333333331</v>
      </c>
      <c r="AF7" s="216">
        <f t="shared" si="8"/>
        <v>0</v>
      </c>
      <c r="AG7" s="147"/>
      <c r="AH7" s="148"/>
      <c r="AI7" s="148"/>
      <c r="AJ7" s="148"/>
      <c r="AK7" s="148"/>
      <c r="AL7" s="148"/>
      <c r="AM7" s="148"/>
      <c r="AN7" s="149"/>
      <c r="AO7" s="150"/>
      <c r="AP7" s="76"/>
      <c r="AQ7" s="76"/>
      <c r="AR7" s="128"/>
      <c r="AS7" s="108">
        <f t="shared" si="10"/>
        <v>1</v>
      </c>
      <c r="AT7" s="249">
        <f t="shared" si="11"/>
        <v>1</v>
      </c>
      <c r="AU7" s="249">
        <f t="shared" si="12"/>
        <v>0.35893088888888885</v>
      </c>
      <c r="AV7" s="249">
        <f t="shared" si="13"/>
        <v>0</v>
      </c>
    </row>
    <row r="8" spans="1:48" outlineLevel="1" x14ac:dyDescent="0.25">
      <c r="A8" s="4" t="s">
        <v>330</v>
      </c>
      <c r="B8" s="75" t="s">
        <v>526</v>
      </c>
      <c r="C8" s="25"/>
      <c r="D8" s="92">
        <v>1</v>
      </c>
      <c r="E8" s="110">
        <v>15000</v>
      </c>
      <c r="F8" s="93">
        <f t="shared" ref="F8:F22" si="16">D8*E8</f>
        <v>15000</v>
      </c>
      <c r="G8" s="74">
        <f t="shared" si="14"/>
        <v>0</v>
      </c>
      <c r="H8" s="95">
        <f t="shared" si="0"/>
        <v>15000</v>
      </c>
      <c r="I8" s="112">
        <f t="shared" ref="I8:I16" si="17">F8</f>
        <v>15000</v>
      </c>
      <c r="J8" s="57"/>
      <c r="K8" s="57"/>
      <c r="L8" s="57"/>
      <c r="M8" s="57"/>
      <c r="N8" s="57"/>
      <c r="O8" s="57"/>
      <c r="P8" s="68"/>
      <c r="Q8" s="58"/>
      <c r="R8" s="93">
        <v>15000</v>
      </c>
      <c r="S8" s="74">
        <f t="shared" si="15"/>
        <v>0</v>
      </c>
      <c r="T8" s="95">
        <f t="shared" si="2"/>
        <v>15000</v>
      </c>
      <c r="U8" s="112">
        <f t="shared" ref="U8:U14" si="18">R8</f>
        <v>15000</v>
      </c>
      <c r="V8" s="57"/>
      <c r="W8" s="57"/>
      <c r="X8" s="57"/>
      <c r="Y8" s="57"/>
      <c r="Z8" s="57"/>
      <c r="AA8" s="57"/>
      <c r="AB8" s="68"/>
      <c r="AC8" s="58"/>
      <c r="AD8" s="170">
        <v>4051.19</v>
      </c>
      <c r="AE8" s="89">
        <f t="shared" si="7"/>
        <v>-4051.19</v>
      </c>
      <c r="AF8" s="216">
        <f t="shared" si="8"/>
        <v>0</v>
      </c>
      <c r="AG8" s="147"/>
      <c r="AH8" s="148"/>
      <c r="AI8" s="148"/>
      <c r="AJ8" s="148"/>
      <c r="AK8" s="148"/>
      <c r="AL8" s="148"/>
      <c r="AM8" s="148"/>
      <c r="AN8" s="149"/>
      <c r="AO8" s="150"/>
      <c r="AP8" s="76"/>
      <c r="AQ8" s="76"/>
      <c r="AR8" s="128"/>
      <c r="AS8" s="108">
        <f t="shared" si="10"/>
        <v>1</v>
      </c>
      <c r="AT8" s="249">
        <f t="shared" si="11"/>
        <v>1</v>
      </c>
      <c r="AU8" s="249">
        <f t="shared" si="12"/>
        <v>0.27007933333333334</v>
      </c>
      <c r="AV8" s="249">
        <f t="shared" si="13"/>
        <v>0</v>
      </c>
    </row>
    <row r="9" spans="1:48" outlineLevel="1" x14ac:dyDescent="0.25">
      <c r="A9" s="4" t="s">
        <v>702</v>
      </c>
      <c r="B9" s="75" t="s">
        <v>524</v>
      </c>
      <c r="C9" s="25"/>
      <c r="D9" s="92">
        <v>1</v>
      </c>
      <c r="E9" s="110">
        <v>11000</v>
      </c>
      <c r="F9" s="93">
        <f t="shared" si="16"/>
        <v>11000</v>
      </c>
      <c r="G9" s="74">
        <f t="shared" si="14"/>
        <v>0</v>
      </c>
      <c r="H9" s="95">
        <f t="shared" si="0"/>
        <v>11000</v>
      </c>
      <c r="I9" s="112">
        <f t="shared" si="17"/>
        <v>11000</v>
      </c>
      <c r="J9" s="57"/>
      <c r="K9" s="57"/>
      <c r="L9" s="57"/>
      <c r="M9" s="57"/>
      <c r="N9" s="57"/>
      <c r="O9" s="57"/>
      <c r="P9" s="68"/>
      <c r="Q9" s="58"/>
      <c r="R9" s="93">
        <v>11000</v>
      </c>
      <c r="S9" s="74">
        <f t="shared" si="15"/>
        <v>0</v>
      </c>
      <c r="T9" s="95">
        <f t="shared" si="2"/>
        <v>11000</v>
      </c>
      <c r="U9" s="112">
        <f t="shared" si="18"/>
        <v>11000</v>
      </c>
      <c r="V9" s="57"/>
      <c r="W9" s="57"/>
      <c r="X9" s="57"/>
      <c r="Y9" s="57"/>
      <c r="Z9" s="57"/>
      <c r="AA9" s="57"/>
      <c r="AB9" s="68"/>
      <c r="AC9" s="58"/>
      <c r="AD9" s="170"/>
      <c r="AE9" s="89">
        <f t="shared" si="7"/>
        <v>0</v>
      </c>
      <c r="AF9" s="216">
        <f t="shared" si="8"/>
        <v>0</v>
      </c>
      <c r="AG9" s="147"/>
      <c r="AH9" s="148"/>
      <c r="AI9" s="148"/>
      <c r="AJ9" s="148"/>
      <c r="AK9" s="148"/>
      <c r="AL9" s="148"/>
      <c r="AM9" s="148"/>
      <c r="AN9" s="149"/>
      <c r="AO9" s="150"/>
      <c r="AP9" s="76"/>
      <c r="AQ9" s="76"/>
      <c r="AR9" s="128"/>
      <c r="AS9" s="108">
        <f t="shared" si="10"/>
        <v>1</v>
      </c>
      <c r="AT9" s="249">
        <f t="shared" si="11"/>
        <v>1</v>
      </c>
      <c r="AU9" s="249">
        <f t="shared" si="12"/>
        <v>0</v>
      </c>
      <c r="AV9" s="249">
        <f t="shared" si="13"/>
        <v>0</v>
      </c>
    </row>
    <row r="10" spans="1:48" outlineLevel="1" x14ac:dyDescent="0.25">
      <c r="A10" s="4" t="s">
        <v>703</v>
      </c>
      <c r="B10" s="75" t="s">
        <v>527</v>
      </c>
      <c r="C10" s="25"/>
      <c r="D10" s="92">
        <v>1</v>
      </c>
      <c r="E10" s="110">
        <v>500</v>
      </c>
      <c r="F10" s="93">
        <f t="shared" si="16"/>
        <v>500</v>
      </c>
      <c r="G10" s="74">
        <f t="shared" si="14"/>
        <v>0</v>
      </c>
      <c r="H10" s="95">
        <f t="shared" si="0"/>
        <v>500</v>
      </c>
      <c r="I10" s="112">
        <f t="shared" si="17"/>
        <v>500</v>
      </c>
      <c r="J10" s="57"/>
      <c r="K10" s="57"/>
      <c r="L10" s="57"/>
      <c r="M10" s="57"/>
      <c r="N10" s="57"/>
      <c r="O10" s="57"/>
      <c r="P10" s="68"/>
      <c r="Q10" s="58"/>
      <c r="R10" s="93">
        <v>500</v>
      </c>
      <c r="S10" s="74">
        <f t="shared" si="15"/>
        <v>0</v>
      </c>
      <c r="T10" s="95">
        <f t="shared" si="2"/>
        <v>500</v>
      </c>
      <c r="U10" s="112">
        <f t="shared" si="18"/>
        <v>500</v>
      </c>
      <c r="V10" s="57"/>
      <c r="W10" s="57"/>
      <c r="X10" s="57"/>
      <c r="Y10" s="57"/>
      <c r="Z10" s="57"/>
      <c r="AA10" s="57"/>
      <c r="AB10" s="68"/>
      <c r="AC10" s="58"/>
      <c r="AD10" s="170">
        <v>540</v>
      </c>
      <c r="AE10" s="89">
        <f t="shared" si="7"/>
        <v>-540</v>
      </c>
      <c r="AF10" s="216">
        <f t="shared" si="8"/>
        <v>0</v>
      </c>
      <c r="AG10" s="147"/>
      <c r="AH10" s="148"/>
      <c r="AI10" s="148"/>
      <c r="AJ10" s="148"/>
      <c r="AK10" s="148"/>
      <c r="AL10" s="148"/>
      <c r="AM10" s="148"/>
      <c r="AN10" s="149"/>
      <c r="AO10" s="150"/>
      <c r="AP10" s="76"/>
      <c r="AQ10" s="76"/>
      <c r="AR10" s="128"/>
      <c r="AS10" s="108">
        <f t="shared" si="10"/>
        <v>1</v>
      </c>
      <c r="AT10" s="249">
        <f t="shared" si="11"/>
        <v>1</v>
      </c>
      <c r="AU10" s="249">
        <f t="shared" si="12"/>
        <v>1.08</v>
      </c>
      <c r="AV10" s="249">
        <f t="shared" si="13"/>
        <v>0</v>
      </c>
    </row>
    <row r="11" spans="1:48" outlineLevel="1" x14ac:dyDescent="0.25">
      <c r="A11" s="4" t="s">
        <v>704</v>
      </c>
      <c r="B11" s="75" t="s">
        <v>528</v>
      </c>
      <c r="C11" s="25"/>
      <c r="D11" s="92">
        <v>1</v>
      </c>
      <c r="E11" s="110">
        <v>500</v>
      </c>
      <c r="F11" s="93">
        <f t="shared" si="16"/>
        <v>500</v>
      </c>
      <c r="G11" s="74">
        <f t="shared" si="14"/>
        <v>0</v>
      </c>
      <c r="H11" s="95">
        <f t="shared" si="0"/>
        <v>500</v>
      </c>
      <c r="I11" s="112">
        <f t="shared" si="17"/>
        <v>500</v>
      </c>
      <c r="J11" s="57"/>
      <c r="K11" s="57"/>
      <c r="L11" s="57"/>
      <c r="M11" s="57"/>
      <c r="N11" s="57"/>
      <c r="O11" s="57"/>
      <c r="P11" s="68"/>
      <c r="Q11" s="58"/>
      <c r="R11" s="93">
        <v>500</v>
      </c>
      <c r="S11" s="74">
        <f t="shared" si="15"/>
        <v>0</v>
      </c>
      <c r="T11" s="95">
        <f t="shared" si="2"/>
        <v>500</v>
      </c>
      <c r="U11" s="112">
        <f t="shared" si="18"/>
        <v>500</v>
      </c>
      <c r="V11" s="57"/>
      <c r="W11" s="57"/>
      <c r="X11" s="57"/>
      <c r="Y11" s="57"/>
      <c r="Z11" s="57"/>
      <c r="AA11" s="57"/>
      <c r="AB11" s="68"/>
      <c r="AC11" s="58"/>
      <c r="AD11" s="170">
        <v>11.81</v>
      </c>
      <c r="AE11" s="89">
        <f t="shared" si="7"/>
        <v>-11.81</v>
      </c>
      <c r="AF11" s="216">
        <f t="shared" si="8"/>
        <v>0</v>
      </c>
      <c r="AG11" s="147"/>
      <c r="AH11" s="148"/>
      <c r="AI11" s="148"/>
      <c r="AJ11" s="148"/>
      <c r="AK11" s="148"/>
      <c r="AL11" s="148"/>
      <c r="AM11" s="148"/>
      <c r="AN11" s="149"/>
      <c r="AO11" s="150"/>
      <c r="AP11" s="76"/>
      <c r="AQ11" s="76"/>
      <c r="AR11" s="128"/>
      <c r="AS11" s="108">
        <f t="shared" si="10"/>
        <v>1</v>
      </c>
      <c r="AT11" s="249">
        <f t="shared" si="11"/>
        <v>1</v>
      </c>
      <c r="AU11" s="249">
        <f t="shared" si="12"/>
        <v>2.3620000000000002E-2</v>
      </c>
      <c r="AV11" s="249">
        <f t="shared" si="13"/>
        <v>0</v>
      </c>
    </row>
    <row r="12" spans="1:48" outlineLevel="1" x14ac:dyDescent="0.25">
      <c r="A12" s="4" t="s">
        <v>705</v>
      </c>
      <c r="B12" s="75" t="s">
        <v>529</v>
      </c>
      <c r="C12" s="25"/>
      <c r="D12" s="92">
        <v>1</v>
      </c>
      <c r="E12" s="110">
        <v>1500</v>
      </c>
      <c r="F12" s="93">
        <f t="shared" si="16"/>
        <v>1500</v>
      </c>
      <c r="G12" s="74">
        <f t="shared" si="14"/>
        <v>0</v>
      </c>
      <c r="H12" s="95">
        <f t="shared" si="0"/>
        <v>1500</v>
      </c>
      <c r="I12" s="112">
        <f t="shared" si="17"/>
        <v>1500</v>
      </c>
      <c r="J12" s="57"/>
      <c r="K12" s="57"/>
      <c r="L12" s="57"/>
      <c r="M12" s="57"/>
      <c r="N12" s="57"/>
      <c r="O12" s="57"/>
      <c r="P12" s="68"/>
      <c r="Q12" s="58"/>
      <c r="R12" s="93">
        <v>1500</v>
      </c>
      <c r="S12" s="74">
        <f t="shared" si="15"/>
        <v>0</v>
      </c>
      <c r="T12" s="95">
        <f t="shared" si="2"/>
        <v>1500</v>
      </c>
      <c r="U12" s="112">
        <f t="shared" si="18"/>
        <v>1500</v>
      </c>
      <c r="V12" s="57"/>
      <c r="W12" s="57"/>
      <c r="X12" s="57"/>
      <c r="Y12" s="57"/>
      <c r="Z12" s="57"/>
      <c r="AA12" s="57"/>
      <c r="AB12" s="68"/>
      <c r="AC12" s="58"/>
      <c r="AD12" s="170"/>
      <c r="AE12" s="89">
        <f t="shared" si="7"/>
        <v>0</v>
      </c>
      <c r="AF12" s="216">
        <f t="shared" si="8"/>
        <v>0</v>
      </c>
      <c r="AG12" s="147"/>
      <c r="AH12" s="148"/>
      <c r="AI12" s="148"/>
      <c r="AJ12" s="148"/>
      <c r="AK12" s="148"/>
      <c r="AL12" s="148"/>
      <c r="AM12" s="148"/>
      <c r="AN12" s="149"/>
      <c r="AO12" s="150"/>
      <c r="AP12" s="76"/>
      <c r="AQ12" s="76"/>
      <c r="AR12" s="128"/>
      <c r="AS12" s="108">
        <f t="shared" si="10"/>
        <v>1</v>
      </c>
      <c r="AT12" s="249">
        <f t="shared" si="11"/>
        <v>1</v>
      </c>
      <c r="AU12" s="249">
        <f t="shared" si="12"/>
        <v>0</v>
      </c>
      <c r="AV12" s="249">
        <f t="shared" si="13"/>
        <v>0</v>
      </c>
    </row>
    <row r="13" spans="1:48" outlineLevel="1" x14ac:dyDescent="0.25">
      <c r="A13" s="4" t="s">
        <v>706</v>
      </c>
      <c r="B13" s="75" t="s">
        <v>530</v>
      </c>
      <c r="C13" s="25"/>
      <c r="D13" s="92">
        <v>1</v>
      </c>
      <c r="E13" s="110">
        <v>50</v>
      </c>
      <c r="F13" s="93">
        <f t="shared" si="16"/>
        <v>50</v>
      </c>
      <c r="G13" s="74">
        <f t="shared" si="14"/>
        <v>0</v>
      </c>
      <c r="H13" s="95">
        <f t="shared" si="0"/>
        <v>50</v>
      </c>
      <c r="I13" s="112">
        <f t="shared" si="17"/>
        <v>50</v>
      </c>
      <c r="J13" s="57"/>
      <c r="K13" s="57"/>
      <c r="L13" s="57"/>
      <c r="M13" s="57"/>
      <c r="N13" s="57"/>
      <c r="O13" s="57"/>
      <c r="P13" s="68"/>
      <c r="Q13" s="58"/>
      <c r="R13" s="93">
        <v>50</v>
      </c>
      <c r="S13" s="74">
        <f t="shared" si="15"/>
        <v>0</v>
      </c>
      <c r="T13" s="95">
        <f t="shared" si="2"/>
        <v>50</v>
      </c>
      <c r="U13" s="112">
        <f t="shared" si="18"/>
        <v>50</v>
      </c>
      <c r="V13" s="57"/>
      <c r="W13" s="57"/>
      <c r="X13" s="57"/>
      <c r="Y13" s="57"/>
      <c r="Z13" s="57"/>
      <c r="AA13" s="57"/>
      <c r="AB13" s="68"/>
      <c r="AC13" s="58"/>
      <c r="AD13" s="170"/>
      <c r="AE13" s="89">
        <f t="shared" si="7"/>
        <v>0</v>
      </c>
      <c r="AF13" s="216">
        <f t="shared" si="8"/>
        <v>0</v>
      </c>
      <c r="AG13" s="147"/>
      <c r="AH13" s="148"/>
      <c r="AI13" s="148"/>
      <c r="AJ13" s="148"/>
      <c r="AK13" s="148"/>
      <c r="AL13" s="148"/>
      <c r="AM13" s="148"/>
      <c r="AN13" s="149"/>
      <c r="AO13" s="150"/>
      <c r="AP13" s="76"/>
      <c r="AQ13" s="76"/>
      <c r="AR13" s="128"/>
      <c r="AS13" s="108">
        <f t="shared" si="10"/>
        <v>1</v>
      </c>
      <c r="AT13" s="249">
        <f t="shared" si="11"/>
        <v>1</v>
      </c>
      <c r="AU13" s="249">
        <f t="shared" si="12"/>
        <v>0</v>
      </c>
      <c r="AV13" s="249">
        <f t="shared" si="13"/>
        <v>0</v>
      </c>
    </row>
    <row r="14" spans="1:48" outlineLevel="1" x14ac:dyDescent="0.25">
      <c r="A14" s="4" t="s">
        <v>707</v>
      </c>
      <c r="B14" s="75" t="s">
        <v>531</v>
      </c>
      <c r="C14" s="25"/>
      <c r="D14" s="92">
        <v>1</v>
      </c>
      <c r="E14" s="110">
        <v>300</v>
      </c>
      <c r="F14" s="93">
        <f t="shared" si="16"/>
        <v>300</v>
      </c>
      <c r="G14" s="74">
        <f t="shared" si="14"/>
        <v>0</v>
      </c>
      <c r="H14" s="95">
        <f t="shared" si="0"/>
        <v>300</v>
      </c>
      <c r="I14" s="112">
        <f t="shared" si="17"/>
        <v>300</v>
      </c>
      <c r="J14" s="57"/>
      <c r="K14" s="57"/>
      <c r="L14" s="57"/>
      <c r="M14" s="57"/>
      <c r="N14" s="57"/>
      <c r="O14" s="57"/>
      <c r="P14" s="68"/>
      <c r="Q14" s="58"/>
      <c r="R14" s="93">
        <v>300</v>
      </c>
      <c r="S14" s="74">
        <f t="shared" si="15"/>
        <v>0</v>
      </c>
      <c r="T14" s="95">
        <f t="shared" si="2"/>
        <v>300</v>
      </c>
      <c r="U14" s="112">
        <f t="shared" si="18"/>
        <v>300</v>
      </c>
      <c r="V14" s="57"/>
      <c r="W14" s="57"/>
      <c r="X14" s="57"/>
      <c r="Y14" s="57"/>
      <c r="Z14" s="57"/>
      <c r="AA14" s="57"/>
      <c r="AB14" s="68"/>
      <c r="AC14" s="58"/>
      <c r="AD14" s="170"/>
      <c r="AE14" s="89">
        <f t="shared" si="7"/>
        <v>0</v>
      </c>
      <c r="AF14" s="216">
        <f t="shared" si="8"/>
        <v>0</v>
      </c>
      <c r="AG14" s="147"/>
      <c r="AH14" s="148"/>
      <c r="AI14" s="148"/>
      <c r="AJ14" s="148"/>
      <c r="AK14" s="148"/>
      <c r="AL14" s="148"/>
      <c r="AM14" s="148"/>
      <c r="AN14" s="149"/>
      <c r="AO14" s="150"/>
      <c r="AP14" s="76"/>
      <c r="AQ14" s="76"/>
      <c r="AR14" s="128"/>
      <c r="AS14" s="108">
        <f t="shared" si="10"/>
        <v>1</v>
      </c>
      <c r="AT14" s="249">
        <f t="shared" si="11"/>
        <v>1</v>
      </c>
      <c r="AU14" s="249">
        <f t="shared" si="12"/>
        <v>0</v>
      </c>
      <c r="AV14" s="249">
        <f t="shared" si="13"/>
        <v>0</v>
      </c>
    </row>
    <row r="15" spans="1:48" outlineLevel="1" x14ac:dyDescent="0.25">
      <c r="A15" s="4" t="s">
        <v>708</v>
      </c>
      <c r="B15" s="75" t="s">
        <v>882</v>
      </c>
      <c r="C15" s="25"/>
      <c r="D15" s="92">
        <v>1</v>
      </c>
      <c r="E15" s="110">
        <v>8750</v>
      </c>
      <c r="F15" s="93">
        <f t="shared" si="16"/>
        <v>8750</v>
      </c>
      <c r="G15" s="74">
        <f t="shared" si="14"/>
        <v>0</v>
      </c>
      <c r="H15" s="95">
        <f t="shared" si="0"/>
        <v>8750</v>
      </c>
      <c r="I15" s="112">
        <v>8750</v>
      </c>
      <c r="J15" s="57"/>
      <c r="K15" s="57"/>
      <c r="L15" s="57"/>
      <c r="M15" s="57"/>
      <c r="N15" s="57"/>
      <c r="O15" s="57"/>
      <c r="P15" s="68"/>
      <c r="Q15" s="58"/>
      <c r="R15" s="93">
        <v>8750</v>
      </c>
      <c r="S15" s="74">
        <f t="shared" si="15"/>
        <v>0</v>
      </c>
      <c r="T15" s="95">
        <f t="shared" si="2"/>
        <v>8750</v>
      </c>
      <c r="U15" s="112">
        <v>8750</v>
      </c>
      <c r="V15" s="57"/>
      <c r="W15" s="57"/>
      <c r="X15" s="57"/>
      <c r="Y15" s="57"/>
      <c r="Z15" s="57"/>
      <c r="AA15" s="57"/>
      <c r="AB15" s="68"/>
      <c r="AC15" s="58"/>
      <c r="AD15" s="170">
        <v>1918.06</v>
      </c>
      <c r="AE15" s="89">
        <f t="shared" si="7"/>
        <v>-1918.06</v>
      </c>
      <c r="AF15" s="216">
        <f t="shared" si="8"/>
        <v>0</v>
      </c>
      <c r="AG15" s="147"/>
      <c r="AH15" s="148"/>
      <c r="AI15" s="148"/>
      <c r="AJ15" s="148"/>
      <c r="AK15" s="148"/>
      <c r="AL15" s="148"/>
      <c r="AM15" s="148"/>
      <c r="AN15" s="149"/>
      <c r="AO15" s="150"/>
      <c r="AP15" s="76"/>
      <c r="AQ15" s="76"/>
      <c r="AR15" s="128"/>
      <c r="AS15" s="108">
        <f t="shared" si="10"/>
        <v>1</v>
      </c>
      <c r="AT15" s="249">
        <f t="shared" si="11"/>
        <v>1</v>
      </c>
      <c r="AU15" s="249">
        <f t="shared" si="12"/>
        <v>0.21920685714285715</v>
      </c>
      <c r="AV15" s="249">
        <f t="shared" si="13"/>
        <v>0</v>
      </c>
    </row>
    <row r="16" spans="1:48" outlineLevel="1" x14ac:dyDescent="0.25">
      <c r="A16" s="4" t="s">
        <v>1025</v>
      </c>
      <c r="B16" s="75" t="s">
        <v>47</v>
      </c>
      <c r="C16" s="25"/>
      <c r="D16" s="92">
        <v>1</v>
      </c>
      <c r="E16" s="110">
        <v>0</v>
      </c>
      <c r="F16" s="93">
        <f t="shared" si="16"/>
        <v>0</v>
      </c>
      <c r="G16" s="74">
        <f t="shared" si="14"/>
        <v>0</v>
      </c>
      <c r="H16" s="95">
        <f t="shared" si="0"/>
        <v>0</v>
      </c>
      <c r="I16" s="112">
        <f t="shared" si="17"/>
        <v>0</v>
      </c>
      <c r="J16" s="57"/>
      <c r="K16" s="57"/>
      <c r="L16" s="57"/>
      <c r="M16" s="57"/>
      <c r="N16" s="57"/>
      <c r="O16" s="57"/>
      <c r="P16" s="68"/>
      <c r="Q16" s="58"/>
      <c r="R16" s="93">
        <v>0</v>
      </c>
      <c r="S16" s="74">
        <f t="shared" si="15"/>
        <v>0</v>
      </c>
      <c r="T16" s="95">
        <f t="shared" si="2"/>
        <v>0</v>
      </c>
      <c r="U16" s="112">
        <f>R16</f>
        <v>0</v>
      </c>
      <c r="V16" s="57"/>
      <c r="W16" s="57"/>
      <c r="X16" s="57"/>
      <c r="Y16" s="57"/>
      <c r="Z16" s="57"/>
      <c r="AA16" s="57"/>
      <c r="AB16" s="68"/>
      <c r="AC16" s="58"/>
      <c r="AD16" s="170">
        <f>356.96-2.16</f>
        <v>354.79999999999995</v>
      </c>
      <c r="AE16" s="89">
        <f t="shared" si="7"/>
        <v>-354.79999999999995</v>
      </c>
      <c r="AF16" s="216">
        <f t="shared" si="8"/>
        <v>0</v>
      </c>
      <c r="AG16" s="147">
        <f>Q16</f>
        <v>0</v>
      </c>
      <c r="AH16" s="148"/>
      <c r="AI16" s="148"/>
      <c r="AJ16" s="148"/>
      <c r="AK16" s="148"/>
      <c r="AL16" s="148"/>
      <c r="AM16" s="148"/>
      <c r="AN16" s="149"/>
      <c r="AO16" s="150"/>
      <c r="AP16" s="76"/>
      <c r="AQ16" s="76"/>
      <c r="AR16" s="128"/>
      <c r="AS16" s="108"/>
      <c r="AT16" s="249"/>
      <c r="AU16" s="249"/>
      <c r="AV16" s="249"/>
    </row>
    <row r="17" spans="1:48" s="280" customFormat="1" ht="15.75" x14ac:dyDescent="0.25">
      <c r="A17" s="270" t="s">
        <v>331</v>
      </c>
      <c r="B17" s="271" t="s">
        <v>328</v>
      </c>
      <c r="C17" s="272"/>
      <c r="D17" s="273"/>
      <c r="E17" s="274"/>
      <c r="F17" s="264">
        <f>SUM(F18:F22)</f>
        <v>190141</v>
      </c>
      <c r="G17" s="265">
        <f t="shared" si="14"/>
        <v>0</v>
      </c>
      <c r="H17" s="275">
        <f t="shared" si="0"/>
        <v>190141</v>
      </c>
      <c r="I17" s="267">
        <f t="shared" ref="I17:Q17" si="19">SUM(I18:I22)</f>
        <v>184141</v>
      </c>
      <c r="J17" s="268">
        <f t="shared" si="19"/>
        <v>6000</v>
      </c>
      <c r="K17" s="268">
        <f t="shared" si="19"/>
        <v>0</v>
      </c>
      <c r="L17" s="268">
        <f t="shared" si="19"/>
        <v>0</v>
      </c>
      <c r="M17" s="268">
        <f t="shared" si="19"/>
        <v>0</v>
      </c>
      <c r="N17" s="268">
        <f t="shared" si="19"/>
        <v>0</v>
      </c>
      <c r="O17" s="268">
        <f t="shared" si="19"/>
        <v>0</v>
      </c>
      <c r="P17" s="268">
        <f t="shared" si="19"/>
        <v>0</v>
      </c>
      <c r="Q17" s="269">
        <f t="shared" si="19"/>
        <v>0</v>
      </c>
      <c r="R17" s="264">
        <f>SUM(R18:R22)</f>
        <v>190141</v>
      </c>
      <c r="S17" s="265">
        <f t="shared" si="15"/>
        <v>0</v>
      </c>
      <c r="T17" s="275">
        <f t="shared" si="2"/>
        <v>190141</v>
      </c>
      <c r="U17" s="267">
        <f t="shared" ref="U17:AC17" si="20">SUM(U18:U22)</f>
        <v>184141</v>
      </c>
      <c r="V17" s="268">
        <f t="shared" si="20"/>
        <v>6000</v>
      </c>
      <c r="W17" s="268">
        <f t="shared" si="20"/>
        <v>0</v>
      </c>
      <c r="X17" s="268">
        <f t="shared" si="20"/>
        <v>0</v>
      </c>
      <c r="Y17" s="268">
        <f t="shared" si="20"/>
        <v>0</v>
      </c>
      <c r="Z17" s="268">
        <f t="shared" si="20"/>
        <v>0</v>
      </c>
      <c r="AA17" s="268">
        <f t="shared" si="20"/>
        <v>0</v>
      </c>
      <c r="AB17" s="268">
        <f t="shared" si="20"/>
        <v>0</v>
      </c>
      <c r="AC17" s="269">
        <f t="shared" si="20"/>
        <v>0</v>
      </c>
      <c r="AD17" s="264">
        <f>SUM(AD18:AD22)</f>
        <v>56679.1</v>
      </c>
      <c r="AE17" s="265">
        <f t="shared" si="7"/>
        <v>-56679.1</v>
      </c>
      <c r="AF17" s="266">
        <f t="shared" si="8"/>
        <v>0</v>
      </c>
      <c r="AG17" s="267">
        <f t="shared" ref="AG17:AO17" si="21">SUM(AG18:AG22)</f>
        <v>0</v>
      </c>
      <c r="AH17" s="268">
        <f t="shared" si="21"/>
        <v>0</v>
      </c>
      <c r="AI17" s="268">
        <f t="shared" si="21"/>
        <v>0</v>
      </c>
      <c r="AJ17" s="268">
        <f t="shared" si="21"/>
        <v>0</v>
      </c>
      <c r="AK17" s="268">
        <f t="shared" si="21"/>
        <v>0</v>
      </c>
      <c r="AL17" s="268">
        <f t="shared" si="21"/>
        <v>0</v>
      </c>
      <c r="AM17" s="268">
        <f t="shared" si="21"/>
        <v>0</v>
      </c>
      <c r="AN17" s="268">
        <f t="shared" si="21"/>
        <v>0</v>
      </c>
      <c r="AO17" s="269">
        <f t="shared" si="21"/>
        <v>0</v>
      </c>
      <c r="AP17" s="276">
        <v>157273</v>
      </c>
      <c r="AQ17" s="276">
        <v>155734.5</v>
      </c>
      <c r="AR17" s="277">
        <f>AQ17*100/AP17</f>
        <v>99.021764702142136</v>
      </c>
      <c r="AS17" s="278">
        <f t="shared" si="10"/>
        <v>1</v>
      </c>
      <c r="AT17" s="279">
        <f t="shared" si="11"/>
        <v>1</v>
      </c>
      <c r="AU17" s="279">
        <f t="shared" si="12"/>
        <v>0.29808983859346483</v>
      </c>
      <c r="AV17" s="279">
        <f t="shared" si="13"/>
        <v>0</v>
      </c>
    </row>
    <row r="18" spans="1:48" ht="14.45" customHeight="1" outlineLevel="1" x14ac:dyDescent="0.25">
      <c r="A18" s="4" t="s">
        <v>332</v>
      </c>
      <c r="B18" s="75" t="s">
        <v>532</v>
      </c>
      <c r="C18" s="25"/>
      <c r="D18" s="92">
        <v>1</v>
      </c>
      <c r="E18" s="112">
        <v>31786</v>
      </c>
      <c r="F18" s="93">
        <f t="shared" si="16"/>
        <v>31786</v>
      </c>
      <c r="G18" s="74">
        <f t="shared" si="14"/>
        <v>0</v>
      </c>
      <c r="H18" s="95">
        <f t="shared" si="0"/>
        <v>31786</v>
      </c>
      <c r="I18" s="112">
        <f>F18</f>
        <v>31786</v>
      </c>
      <c r="J18" s="57"/>
      <c r="K18" s="57"/>
      <c r="L18" s="57"/>
      <c r="M18" s="57"/>
      <c r="N18" s="57"/>
      <c r="O18" s="57"/>
      <c r="P18" s="68"/>
      <c r="Q18" s="58"/>
      <c r="R18" s="93">
        <v>31786</v>
      </c>
      <c r="S18" s="74">
        <f t="shared" si="15"/>
        <v>0</v>
      </c>
      <c r="T18" s="95">
        <f t="shared" si="2"/>
        <v>31786</v>
      </c>
      <c r="U18" s="112">
        <f>R18</f>
        <v>31786</v>
      </c>
      <c r="V18" s="57"/>
      <c r="W18" s="57"/>
      <c r="X18" s="57"/>
      <c r="Y18" s="57"/>
      <c r="Z18" s="57"/>
      <c r="AA18" s="57"/>
      <c r="AB18" s="68"/>
      <c r="AC18" s="58"/>
      <c r="AD18" s="170">
        <v>3395.46</v>
      </c>
      <c r="AE18" s="89">
        <f t="shared" si="7"/>
        <v>-3395.46</v>
      </c>
      <c r="AF18" s="216">
        <f t="shared" si="8"/>
        <v>0</v>
      </c>
      <c r="AG18" s="147">
        <f>Q18</f>
        <v>0</v>
      </c>
      <c r="AH18" s="148"/>
      <c r="AI18" s="148"/>
      <c r="AJ18" s="148"/>
      <c r="AK18" s="148"/>
      <c r="AL18" s="148"/>
      <c r="AM18" s="148"/>
      <c r="AN18" s="149"/>
      <c r="AO18" s="150"/>
      <c r="AP18" s="76"/>
      <c r="AQ18" s="76"/>
      <c r="AR18" s="128"/>
      <c r="AS18" s="108">
        <f t="shared" si="10"/>
        <v>1</v>
      </c>
      <c r="AT18" s="249">
        <f t="shared" si="11"/>
        <v>1</v>
      </c>
      <c r="AU18" s="249">
        <f t="shared" si="12"/>
        <v>0.10682250047190588</v>
      </c>
      <c r="AV18" s="249">
        <f t="shared" si="13"/>
        <v>0</v>
      </c>
    </row>
    <row r="19" spans="1:48" ht="14.45" customHeight="1" outlineLevel="1" x14ac:dyDescent="0.25">
      <c r="A19" s="4" t="s">
        <v>333</v>
      </c>
      <c r="B19" s="75" t="s">
        <v>533</v>
      </c>
      <c r="C19" s="25"/>
      <c r="D19" s="92">
        <v>1</v>
      </c>
      <c r="E19" s="112">
        <v>79762</v>
      </c>
      <c r="F19" s="93">
        <f t="shared" si="16"/>
        <v>79762</v>
      </c>
      <c r="G19" s="74">
        <f t="shared" si="14"/>
        <v>0</v>
      </c>
      <c r="H19" s="95">
        <f t="shared" si="0"/>
        <v>79762</v>
      </c>
      <c r="I19" s="112">
        <f>F19</f>
        <v>79762</v>
      </c>
      <c r="J19" s="57"/>
      <c r="K19" s="57"/>
      <c r="L19" s="57"/>
      <c r="M19" s="57"/>
      <c r="N19" s="57"/>
      <c r="O19" s="57"/>
      <c r="P19" s="68"/>
      <c r="Q19" s="58"/>
      <c r="R19" s="93">
        <v>79762</v>
      </c>
      <c r="S19" s="74">
        <f t="shared" si="15"/>
        <v>0</v>
      </c>
      <c r="T19" s="95">
        <f t="shared" si="2"/>
        <v>79762</v>
      </c>
      <c r="U19" s="112">
        <f>R19</f>
        <v>79762</v>
      </c>
      <c r="V19" s="57"/>
      <c r="W19" s="57"/>
      <c r="X19" s="57"/>
      <c r="Y19" s="57"/>
      <c r="Z19" s="57"/>
      <c r="AA19" s="57"/>
      <c r="AB19" s="68"/>
      <c r="AC19" s="58"/>
      <c r="AD19" s="170">
        <v>51473.72</v>
      </c>
      <c r="AE19" s="89">
        <f t="shared" si="7"/>
        <v>-51473.72</v>
      </c>
      <c r="AF19" s="216">
        <f t="shared" si="8"/>
        <v>0</v>
      </c>
      <c r="AG19" s="147">
        <f>Q19</f>
        <v>0</v>
      </c>
      <c r="AH19" s="148"/>
      <c r="AI19" s="148"/>
      <c r="AJ19" s="148"/>
      <c r="AK19" s="148"/>
      <c r="AL19" s="148"/>
      <c r="AM19" s="148"/>
      <c r="AN19" s="149"/>
      <c r="AO19" s="150"/>
      <c r="AP19" s="76"/>
      <c r="AQ19" s="76"/>
      <c r="AR19" s="128"/>
      <c r="AS19" s="108">
        <f t="shared" si="10"/>
        <v>1</v>
      </c>
      <c r="AT19" s="249">
        <f t="shared" si="11"/>
        <v>1</v>
      </c>
      <c r="AU19" s="249">
        <f t="shared" si="12"/>
        <v>0.64534139063714557</v>
      </c>
      <c r="AV19" s="249">
        <f t="shared" si="13"/>
        <v>0</v>
      </c>
    </row>
    <row r="20" spans="1:48" ht="14.45" customHeight="1" outlineLevel="1" x14ac:dyDescent="0.25">
      <c r="A20" s="4" t="s">
        <v>334</v>
      </c>
      <c r="B20" s="75" t="s">
        <v>534</v>
      </c>
      <c r="C20" s="25"/>
      <c r="D20" s="92">
        <v>1</v>
      </c>
      <c r="E20" s="112">
        <v>6000</v>
      </c>
      <c r="F20" s="93">
        <f t="shared" si="16"/>
        <v>6000</v>
      </c>
      <c r="G20" s="74">
        <f t="shared" si="14"/>
        <v>0</v>
      </c>
      <c r="H20" s="95">
        <f t="shared" si="0"/>
        <v>6000</v>
      </c>
      <c r="I20" s="112"/>
      <c r="J20" s="57">
        <v>6000</v>
      </c>
      <c r="K20" s="57"/>
      <c r="L20" s="57"/>
      <c r="M20" s="57"/>
      <c r="N20" s="57"/>
      <c r="O20" s="57"/>
      <c r="P20" s="68"/>
      <c r="Q20" s="58"/>
      <c r="R20" s="93">
        <v>6000</v>
      </c>
      <c r="S20" s="74">
        <f t="shared" si="15"/>
        <v>0</v>
      </c>
      <c r="T20" s="95">
        <f t="shared" si="2"/>
        <v>6000</v>
      </c>
      <c r="U20" s="112"/>
      <c r="V20" s="57">
        <v>6000</v>
      </c>
      <c r="W20" s="57"/>
      <c r="X20" s="57"/>
      <c r="Y20" s="57"/>
      <c r="Z20" s="57"/>
      <c r="AA20" s="57"/>
      <c r="AB20" s="68"/>
      <c r="AC20" s="58"/>
      <c r="AD20" s="170">
        <v>1809.92</v>
      </c>
      <c r="AE20" s="89">
        <f t="shared" si="7"/>
        <v>-1809.92</v>
      </c>
      <c r="AF20" s="216">
        <f t="shared" si="8"/>
        <v>0</v>
      </c>
      <c r="AG20" s="147"/>
      <c r="AH20" s="148"/>
      <c r="AI20" s="148"/>
      <c r="AJ20" s="148"/>
      <c r="AK20" s="148"/>
      <c r="AL20" s="148"/>
      <c r="AM20" s="148"/>
      <c r="AN20" s="149"/>
      <c r="AO20" s="150"/>
      <c r="AP20" s="76"/>
      <c r="AQ20" s="76"/>
      <c r="AR20" s="128"/>
      <c r="AS20" s="108">
        <f t="shared" si="10"/>
        <v>1</v>
      </c>
      <c r="AT20" s="249">
        <f t="shared" si="11"/>
        <v>1</v>
      </c>
      <c r="AU20" s="249">
        <f t="shared" si="12"/>
        <v>0.30165333333333333</v>
      </c>
      <c r="AV20" s="249">
        <f t="shared" si="13"/>
        <v>0</v>
      </c>
    </row>
    <row r="21" spans="1:48" outlineLevel="1" x14ac:dyDescent="0.25">
      <c r="A21" s="4" t="s">
        <v>335</v>
      </c>
      <c r="B21" s="75" t="s">
        <v>958</v>
      </c>
      <c r="C21" s="25"/>
      <c r="D21" s="92">
        <v>1</v>
      </c>
      <c r="E21" s="112">
        <v>72593</v>
      </c>
      <c r="F21" s="93">
        <f t="shared" si="16"/>
        <v>72593</v>
      </c>
      <c r="G21" s="74">
        <f t="shared" si="14"/>
        <v>0</v>
      </c>
      <c r="H21" s="95">
        <f t="shared" si="0"/>
        <v>72593</v>
      </c>
      <c r="I21" s="112">
        <f>F21</f>
        <v>72593</v>
      </c>
      <c r="J21" s="57"/>
      <c r="K21" s="57"/>
      <c r="L21" s="57"/>
      <c r="M21" s="57"/>
      <c r="N21" s="57"/>
      <c r="O21" s="57"/>
      <c r="P21" s="68"/>
      <c r="Q21" s="58"/>
      <c r="R21" s="93">
        <v>72593</v>
      </c>
      <c r="S21" s="74">
        <f t="shared" si="15"/>
        <v>0</v>
      </c>
      <c r="T21" s="95">
        <f t="shared" si="2"/>
        <v>72593</v>
      </c>
      <c r="U21" s="112">
        <f>R21</f>
        <v>72593</v>
      </c>
      <c r="V21" s="57"/>
      <c r="W21" s="57"/>
      <c r="X21" s="57"/>
      <c r="Y21" s="57"/>
      <c r="Z21" s="57"/>
      <c r="AA21" s="57"/>
      <c r="AB21" s="68"/>
      <c r="AC21" s="58"/>
      <c r="AD21" s="170">
        <f>P21*Q21</f>
        <v>0</v>
      </c>
      <c r="AE21" s="89">
        <f t="shared" si="7"/>
        <v>0</v>
      </c>
      <c r="AF21" s="216">
        <f t="shared" si="8"/>
        <v>0</v>
      </c>
      <c r="AG21" s="147">
        <f>Q21</f>
        <v>0</v>
      </c>
      <c r="AH21" s="148"/>
      <c r="AI21" s="148"/>
      <c r="AJ21" s="148"/>
      <c r="AK21" s="148"/>
      <c r="AL21" s="148"/>
      <c r="AM21" s="148"/>
      <c r="AN21" s="149"/>
      <c r="AO21" s="150"/>
      <c r="AP21" s="76"/>
      <c r="AQ21" s="76"/>
      <c r="AR21" s="128"/>
      <c r="AS21" s="108">
        <f t="shared" si="10"/>
        <v>1</v>
      </c>
      <c r="AT21" s="249">
        <f t="shared" si="11"/>
        <v>1</v>
      </c>
      <c r="AU21" s="249">
        <f t="shared" si="12"/>
        <v>0</v>
      </c>
      <c r="AV21" s="249">
        <f t="shared" si="13"/>
        <v>0</v>
      </c>
    </row>
    <row r="22" spans="1:48" outlineLevel="1" x14ac:dyDescent="0.25">
      <c r="A22" s="4" t="s">
        <v>1026</v>
      </c>
      <c r="B22" s="75" t="s">
        <v>47</v>
      </c>
      <c r="C22" s="25"/>
      <c r="D22" s="92">
        <v>1</v>
      </c>
      <c r="E22" s="110">
        <v>0</v>
      </c>
      <c r="F22" s="93">
        <f t="shared" si="16"/>
        <v>0</v>
      </c>
      <c r="G22" s="74">
        <f t="shared" si="14"/>
        <v>0</v>
      </c>
      <c r="H22" s="95">
        <f t="shared" si="0"/>
        <v>0</v>
      </c>
      <c r="I22" s="112">
        <f>F22</f>
        <v>0</v>
      </c>
      <c r="J22" s="57"/>
      <c r="K22" s="57"/>
      <c r="L22" s="57"/>
      <c r="M22" s="57"/>
      <c r="N22" s="57"/>
      <c r="O22" s="57"/>
      <c r="P22" s="68"/>
      <c r="Q22" s="58"/>
      <c r="R22" s="93">
        <f>P22*Q22</f>
        <v>0</v>
      </c>
      <c r="S22" s="74">
        <f t="shared" si="15"/>
        <v>0</v>
      </c>
      <c r="T22" s="95">
        <f t="shared" si="2"/>
        <v>0</v>
      </c>
      <c r="U22" s="112">
        <f>R22</f>
        <v>0</v>
      </c>
      <c r="V22" s="57"/>
      <c r="W22" s="57"/>
      <c r="X22" s="57"/>
      <c r="Y22" s="57"/>
      <c r="Z22" s="57"/>
      <c r="AA22" s="57"/>
      <c r="AB22" s="68"/>
      <c r="AC22" s="58"/>
      <c r="AD22" s="170">
        <f>P22*Q22</f>
        <v>0</v>
      </c>
      <c r="AE22" s="89">
        <f t="shared" si="7"/>
        <v>0</v>
      </c>
      <c r="AF22" s="216">
        <f t="shared" si="8"/>
        <v>0</v>
      </c>
      <c r="AG22" s="147">
        <f>Q22</f>
        <v>0</v>
      </c>
      <c r="AH22" s="148"/>
      <c r="AI22" s="148"/>
      <c r="AJ22" s="148"/>
      <c r="AK22" s="148"/>
      <c r="AL22" s="148"/>
      <c r="AM22" s="148"/>
      <c r="AN22" s="149"/>
      <c r="AO22" s="150"/>
      <c r="AP22" s="76"/>
      <c r="AQ22" s="76"/>
      <c r="AR22" s="128"/>
      <c r="AS22" s="108"/>
      <c r="AT22" s="249"/>
      <c r="AU22" s="249"/>
      <c r="AV22" s="249"/>
    </row>
    <row r="23" spans="1:48" s="2" customFormat="1" ht="21" x14ac:dyDescent="0.35">
      <c r="A23" s="8" t="s">
        <v>61</v>
      </c>
      <c r="B23" s="12" t="s">
        <v>136</v>
      </c>
      <c r="C23" s="106"/>
      <c r="D23" s="22"/>
      <c r="E23" s="81">
        <f>SUM(E24:E36)</f>
        <v>55753</v>
      </c>
      <c r="F23" s="84">
        <f>F24+F28+F31+F34</f>
        <v>0</v>
      </c>
      <c r="G23" s="89">
        <f t="shared" si="14"/>
        <v>0</v>
      </c>
      <c r="H23" s="16">
        <f t="shared" si="0"/>
        <v>0</v>
      </c>
      <c r="I23" s="51">
        <f t="shared" ref="I23:R23" si="22">I24+I28+I31+I34</f>
        <v>0</v>
      </c>
      <c r="J23" s="51">
        <f t="shared" si="22"/>
        <v>0</v>
      </c>
      <c r="K23" s="51">
        <f t="shared" si="22"/>
        <v>0</v>
      </c>
      <c r="L23" s="51">
        <f t="shared" si="22"/>
        <v>0</v>
      </c>
      <c r="M23" s="51">
        <f t="shared" si="22"/>
        <v>0</v>
      </c>
      <c r="N23" s="51">
        <f t="shared" si="22"/>
        <v>0</v>
      </c>
      <c r="O23" s="51">
        <f t="shared" si="22"/>
        <v>0</v>
      </c>
      <c r="P23" s="51">
        <f t="shared" si="22"/>
        <v>0</v>
      </c>
      <c r="Q23" s="59">
        <f t="shared" si="22"/>
        <v>0</v>
      </c>
      <c r="R23" s="84">
        <f t="shared" si="22"/>
        <v>0</v>
      </c>
      <c r="S23" s="89">
        <f t="shared" si="15"/>
        <v>0</v>
      </c>
      <c r="T23" s="16">
        <f t="shared" si="2"/>
        <v>0</v>
      </c>
      <c r="U23" s="51">
        <f t="shared" ref="U23:AC23" si="23">U24+U28+U31+U34</f>
        <v>0</v>
      </c>
      <c r="V23" s="51">
        <f t="shared" si="23"/>
        <v>0</v>
      </c>
      <c r="W23" s="51">
        <f t="shared" si="23"/>
        <v>0</v>
      </c>
      <c r="X23" s="51">
        <f t="shared" si="23"/>
        <v>0</v>
      </c>
      <c r="Y23" s="51">
        <f t="shared" si="23"/>
        <v>0</v>
      </c>
      <c r="Z23" s="51">
        <f t="shared" si="23"/>
        <v>0</v>
      </c>
      <c r="AA23" s="51">
        <f t="shared" si="23"/>
        <v>0</v>
      </c>
      <c r="AB23" s="51">
        <f t="shared" si="23"/>
        <v>0</v>
      </c>
      <c r="AC23" s="59">
        <f t="shared" si="23"/>
        <v>0</v>
      </c>
      <c r="AD23" s="255">
        <f>AD24+AD28+AD31+AD34</f>
        <v>0</v>
      </c>
      <c r="AE23" s="256">
        <f t="shared" si="7"/>
        <v>0</v>
      </c>
      <c r="AF23" s="257">
        <f t="shared" si="8"/>
        <v>0</v>
      </c>
      <c r="AG23" s="260">
        <f t="shared" ref="AG23:AO23" si="24">AG24+AG28+AG31+AG34</f>
        <v>0</v>
      </c>
      <c r="AH23" s="260">
        <f t="shared" si="24"/>
        <v>0</v>
      </c>
      <c r="AI23" s="260">
        <f t="shared" si="24"/>
        <v>0</v>
      </c>
      <c r="AJ23" s="260">
        <f t="shared" si="24"/>
        <v>0</v>
      </c>
      <c r="AK23" s="260">
        <f t="shared" si="24"/>
        <v>0</v>
      </c>
      <c r="AL23" s="260">
        <f t="shared" si="24"/>
        <v>0</v>
      </c>
      <c r="AM23" s="260">
        <f t="shared" si="24"/>
        <v>0</v>
      </c>
      <c r="AN23" s="260">
        <f t="shared" si="24"/>
        <v>0</v>
      </c>
      <c r="AO23" s="261">
        <f t="shared" si="24"/>
        <v>0</v>
      </c>
      <c r="AP23" s="32">
        <f>AP24+AP28+AP31+AP34</f>
        <v>57000</v>
      </c>
      <c r="AQ23" s="32">
        <f>AQ24+AQ28+AQ31+AQ34</f>
        <v>56200</v>
      </c>
      <c r="AR23" s="126">
        <f>AQ23*100/AP23</f>
        <v>98.596491228070178</v>
      </c>
      <c r="AS23" s="108"/>
      <c r="AT23" s="249"/>
      <c r="AU23" s="249"/>
      <c r="AV23" s="249"/>
    </row>
    <row r="24" spans="1:48" s="280" customFormat="1" ht="15.75" x14ac:dyDescent="0.25">
      <c r="A24" s="270" t="s">
        <v>62</v>
      </c>
      <c r="B24" s="271" t="s">
        <v>137</v>
      </c>
      <c r="C24" s="272"/>
      <c r="D24" s="273"/>
      <c r="E24" s="274"/>
      <c r="F24" s="264">
        <f>SUM(F25:F27)</f>
        <v>0</v>
      </c>
      <c r="G24" s="265">
        <f t="shared" si="14"/>
        <v>0</v>
      </c>
      <c r="H24" s="275">
        <f t="shared" si="0"/>
        <v>0</v>
      </c>
      <c r="I24" s="267">
        <f t="shared" ref="I24:Q24" si="25">SUM(I25:I27)</f>
        <v>0</v>
      </c>
      <c r="J24" s="268">
        <f t="shared" si="25"/>
        <v>0</v>
      </c>
      <c r="K24" s="268">
        <f t="shared" si="25"/>
        <v>0</v>
      </c>
      <c r="L24" s="268">
        <f t="shared" si="25"/>
        <v>0</v>
      </c>
      <c r="M24" s="268">
        <f t="shared" si="25"/>
        <v>0</v>
      </c>
      <c r="N24" s="268">
        <f t="shared" si="25"/>
        <v>0</v>
      </c>
      <c r="O24" s="268">
        <f t="shared" si="25"/>
        <v>0</v>
      </c>
      <c r="P24" s="268">
        <f t="shared" si="25"/>
        <v>0</v>
      </c>
      <c r="Q24" s="269">
        <f t="shared" si="25"/>
        <v>0</v>
      </c>
      <c r="R24" s="264">
        <f>SUM(R25:R27)</f>
        <v>0</v>
      </c>
      <c r="S24" s="265">
        <f t="shared" si="15"/>
        <v>0</v>
      </c>
      <c r="T24" s="275">
        <f t="shared" si="2"/>
        <v>0</v>
      </c>
      <c r="U24" s="267">
        <f t="shared" ref="U24:AC24" si="26">SUM(U25:U27)</f>
        <v>0</v>
      </c>
      <c r="V24" s="268">
        <f t="shared" si="26"/>
        <v>0</v>
      </c>
      <c r="W24" s="268">
        <f t="shared" si="26"/>
        <v>0</v>
      </c>
      <c r="X24" s="268">
        <f t="shared" si="26"/>
        <v>0</v>
      </c>
      <c r="Y24" s="268">
        <f t="shared" si="26"/>
        <v>0</v>
      </c>
      <c r="Z24" s="268">
        <f t="shared" si="26"/>
        <v>0</v>
      </c>
      <c r="AA24" s="268">
        <f t="shared" si="26"/>
        <v>0</v>
      </c>
      <c r="AB24" s="268">
        <f t="shared" si="26"/>
        <v>0</v>
      </c>
      <c r="AC24" s="269">
        <f t="shared" si="26"/>
        <v>0</v>
      </c>
      <c r="AD24" s="264">
        <f>SUM(AD25:AD27)</f>
        <v>0</v>
      </c>
      <c r="AE24" s="265">
        <f t="shared" si="7"/>
        <v>0</v>
      </c>
      <c r="AF24" s="266">
        <f t="shared" si="8"/>
        <v>0</v>
      </c>
      <c r="AG24" s="267">
        <f t="shared" ref="AG24:AO24" si="27">SUM(AG25:AG27)</f>
        <v>0</v>
      </c>
      <c r="AH24" s="268">
        <f t="shared" si="27"/>
        <v>0</v>
      </c>
      <c r="AI24" s="268">
        <f t="shared" si="27"/>
        <v>0</v>
      </c>
      <c r="AJ24" s="268">
        <f t="shared" si="27"/>
        <v>0</v>
      </c>
      <c r="AK24" s="268">
        <f t="shared" si="27"/>
        <v>0</v>
      </c>
      <c r="AL24" s="268">
        <f t="shared" si="27"/>
        <v>0</v>
      </c>
      <c r="AM24" s="268">
        <f t="shared" si="27"/>
        <v>0</v>
      </c>
      <c r="AN24" s="268">
        <f t="shared" si="27"/>
        <v>0</v>
      </c>
      <c r="AO24" s="269">
        <f t="shared" si="27"/>
        <v>0</v>
      </c>
      <c r="AP24" s="276">
        <v>11500</v>
      </c>
      <c r="AQ24" s="276">
        <v>10700</v>
      </c>
      <c r="AR24" s="277">
        <f>AQ24*100/AP24</f>
        <v>93.043478260869563</v>
      </c>
      <c r="AS24" s="278"/>
      <c r="AT24" s="279"/>
      <c r="AU24" s="279"/>
      <c r="AV24" s="279"/>
    </row>
    <row r="25" spans="1:48" outlineLevel="1" x14ac:dyDescent="0.25">
      <c r="A25" s="5" t="s">
        <v>63</v>
      </c>
      <c r="B25" s="75" t="s">
        <v>141</v>
      </c>
      <c r="C25" s="25" t="s">
        <v>901</v>
      </c>
      <c r="D25" s="92">
        <v>1</v>
      </c>
      <c r="E25" s="110">
        <v>3000</v>
      </c>
      <c r="F25" s="93"/>
      <c r="G25" s="74">
        <f t="shared" si="14"/>
        <v>0</v>
      </c>
      <c r="H25" s="95">
        <f t="shared" si="0"/>
        <v>0</v>
      </c>
      <c r="I25" s="112">
        <f>F25</f>
        <v>0</v>
      </c>
      <c r="J25" s="57"/>
      <c r="K25" s="57"/>
      <c r="L25" s="57"/>
      <c r="M25" s="57"/>
      <c r="N25" s="57"/>
      <c r="O25" s="57"/>
      <c r="P25" s="68"/>
      <c r="Q25" s="58"/>
      <c r="R25" s="93"/>
      <c r="S25" s="74">
        <f t="shared" si="15"/>
        <v>0</v>
      </c>
      <c r="T25" s="95">
        <f t="shared" si="2"/>
        <v>0</v>
      </c>
      <c r="U25" s="112">
        <f>R25</f>
        <v>0</v>
      </c>
      <c r="V25" s="57"/>
      <c r="W25" s="57"/>
      <c r="X25" s="57"/>
      <c r="Y25" s="57"/>
      <c r="Z25" s="57"/>
      <c r="AA25" s="57"/>
      <c r="AB25" s="68"/>
      <c r="AC25" s="58"/>
      <c r="AD25" s="170"/>
      <c r="AE25" s="89">
        <f t="shared" si="7"/>
        <v>0</v>
      </c>
      <c r="AF25" s="216">
        <f t="shared" si="8"/>
        <v>0</v>
      </c>
      <c r="AG25" s="147">
        <f>Q25</f>
        <v>0</v>
      </c>
      <c r="AH25" s="148"/>
      <c r="AI25" s="148"/>
      <c r="AJ25" s="148"/>
      <c r="AK25" s="148"/>
      <c r="AL25" s="148"/>
      <c r="AM25" s="148"/>
      <c r="AN25" s="149"/>
      <c r="AO25" s="150"/>
      <c r="AP25" s="76"/>
      <c r="AQ25" s="76"/>
      <c r="AR25" s="128"/>
      <c r="AS25" s="108"/>
      <c r="AT25" s="249"/>
      <c r="AU25" s="249"/>
      <c r="AV25" s="249"/>
    </row>
    <row r="26" spans="1:48" outlineLevel="1" x14ac:dyDescent="0.25">
      <c r="A26" s="4" t="s">
        <v>64</v>
      </c>
      <c r="B26" s="75" t="s">
        <v>140</v>
      </c>
      <c r="C26" s="25" t="s">
        <v>902</v>
      </c>
      <c r="D26" s="92">
        <v>1</v>
      </c>
      <c r="E26" s="110">
        <v>3000</v>
      </c>
      <c r="F26" s="93"/>
      <c r="G26" s="74">
        <f t="shared" si="14"/>
        <v>0</v>
      </c>
      <c r="H26" s="95">
        <f t="shared" si="0"/>
        <v>0</v>
      </c>
      <c r="I26" s="112">
        <f>F26</f>
        <v>0</v>
      </c>
      <c r="J26" s="57"/>
      <c r="K26" s="57"/>
      <c r="L26" s="57"/>
      <c r="M26" s="57"/>
      <c r="N26" s="57"/>
      <c r="O26" s="57"/>
      <c r="P26" s="68"/>
      <c r="Q26" s="58"/>
      <c r="R26" s="93"/>
      <c r="S26" s="74">
        <f t="shared" si="15"/>
        <v>0</v>
      </c>
      <c r="T26" s="95">
        <f t="shared" si="2"/>
        <v>0</v>
      </c>
      <c r="U26" s="112">
        <f>R26</f>
        <v>0</v>
      </c>
      <c r="V26" s="57"/>
      <c r="W26" s="57"/>
      <c r="X26" s="57"/>
      <c r="Y26" s="57"/>
      <c r="Z26" s="57"/>
      <c r="AA26" s="57"/>
      <c r="AB26" s="68"/>
      <c r="AC26" s="58"/>
      <c r="AD26" s="170"/>
      <c r="AE26" s="89">
        <f t="shared" si="7"/>
        <v>0</v>
      </c>
      <c r="AF26" s="216">
        <f t="shared" si="8"/>
        <v>0</v>
      </c>
      <c r="AG26" s="147">
        <f>Q26</f>
        <v>0</v>
      </c>
      <c r="AH26" s="148"/>
      <c r="AI26" s="148"/>
      <c r="AJ26" s="148"/>
      <c r="AK26" s="148"/>
      <c r="AL26" s="148"/>
      <c r="AM26" s="148"/>
      <c r="AN26" s="149"/>
      <c r="AO26" s="150"/>
      <c r="AP26" s="76"/>
      <c r="AQ26" s="76"/>
      <c r="AR26" s="128"/>
      <c r="AS26" s="108"/>
      <c r="AT26" s="249"/>
      <c r="AU26" s="249"/>
      <c r="AV26" s="249"/>
    </row>
    <row r="27" spans="1:48" outlineLevel="1" x14ac:dyDescent="0.25">
      <c r="A27" s="4" t="s">
        <v>1027</v>
      </c>
      <c r="B27" s="75" t="s">
        <v>47</v>
      </c>
      <c r="C27" s="25"/>
      <c r="D27" s="92"/>
      <c r="E27" s="110"/>
      <c r="F27" s="93"/>
      <c r="G27" s="74">
        <f t="shared" si="14"/>
        <v>0</v>
      </c>
      <c r="H27" s="95">
        <f t="shared" si="0"/>
        <v>0</v>
      </c>
      <c r="I27" s="112">
        <f>F27</f>
        <v>0</v>
      </c>
      <c r="J27" s="57"/>
      <c r="K27" s="57"/>
      <c r="L27" s="57"/>
      <c r="M27" s="57"/>
      <c r="N27" s="57"/>
      <c r="O27" s="57"/>
      <c r="P27" s="68"/>
      <c r="Q27" s="58"/>
      <c r="R27" s="93"/>
      <c r="S27" s="74">
        <f t="shared" si="15"/>
        <v>0</v>
      </c>
      <c r="T27" s="95">
        <f t="shared" si="2"/>
        <v>0</v>
      </c>
      <c r="U27" s="112">
        <f>R27</f>
        <v>0</v>
      </c>
      <c r="V27" s="57"/>
      <c r="W27" s="57"/>
      <c r="X27" s="57"/>
      <c r="Y27" s="57"/>
      <c r="Z27" s="57"/>
      <c r="AA27" s="57"/>
      <c r="AB27" s="68"/>
      <c r="AC27" s="58"/>
      <c r="AD27" s="170"/>
      <c r="AE27" s="89">
        <f t="shared" si="7"/>
        <v>0</v>
      </c>
      <c r="AF27" s="216">
        <f t="shared" si="8"/>
        <v>0</v>
      </c>
      <c r="AG27" s="147">
        <f>Q27</f>
        <v>0</v>
      </c>
      <c r="AH27" s="148"/>
      <c r="AI27" s="148"/>
      <c r="AJ27" s="148"/>
      <c r="AK27" s="148"/>
      <c r="AL27" s="148"/>
      <c r="AM27" s="148"/>
      <c r="AN27" s="149"/>
      <c r="AO27" s="150"/>
      <c r="AP27" s="76"/>
      <c r="AQ27" s="76"/>
      <c r="AR27" s="128"/>
      <c r="AS27" s="108"/>
      <c r="AT27" s="249"/>
      <c r="AU27" s="249"/>
      <c r="AV27" s="249"/>
    </row>
    <row r="28" spans="1:48" s="280" customFormat="1" ht="15.75" x14ac:dyDescent="0.25">
      <c r="A28" s="270" t="s">
        <v>65</v>
      </c>
      <c r="B28" s="271" t="s">
        <v>699</v>
      </c>
      <c r="C28" s="272"/>
      <c r="D28" s="273"/>
      <c r="E28" s="274"/>
      <c r="F28" s="264">
        <f>SUM(F29:F30)</f>
        <v>0</v>
      </c>
      <c r="G28" s="265">
        <f t="shared" si="14"/>
        <v>0</v>
      </c>
      <c r="H28" s="275">
        <f t="shared" si="0"/>
        <v>0</v>
      </c>
      <c r="I28" s="267">
        <f t="shared" ref="I28:Q28" si="28">SUM(I29:I30)</f>
        <v>0</v>
      </c>
      <c r="J28" s="268">
        <f t="shared" si="28"/>
        <v>0</v>
      </c>
      <c r="K28" s="268">
        <f t="shared" si="28"/>
        <v>0</v>
      </c>
      <c r="L28" s="268">
        <f t="shared" si="28"/>
        <v>0</v>
      </c>
      <c r="M28" s="268">
        <f t="shared" si="28"/>
        <v>0</v>
      </c>
      <c r="N28" s="268">
        <f t="shared" si="28"/>
        <v>0</v>
      </c>
      <c r="O28" s="268">
        <f t="shared" si="28"/>
        <v>0</v>
      </c>
      <c r="P28" s="268">
        <f t="shared" si="28"/>
        <v>0</v>
      </c>
      <c r="Q28" s="269">
        <f t="shared" si="28"/>
        <v>0</v>
      </c>
      <c r="R28" s="264">
        <f>SUM(R29:R30)</f>
        <v>0</v>
      </c>
      <c r="S28" s="265">
        <f t="shared" si="15"/>
        <v>0</v>
      </c>
      <c r="T28" s="275">
        <f t="shared" si="2"/>
        <v>0</v>
      </c>
      <c r="U28" s="267">
        <f t="shared" ref="U28:AC28" si="29">SUM(U29:U30)</f>
        <v>0</v>
      </c>
      <c r="V28" s="268">
        <f t="shared" si="29"/>
        <v>0</v>
      </c>
      <c r="W28" s="268">
        <f t="shared" si="29"/>
        <v>0</v>
      </c>
      <c r="X28" s="268">
        <f t="shared" si="29"/>
        <v>0</v>
      </c>
      <c r="Y28" s="268">
        <f t="shared" si="29"/>
        <v>0</v>
      </c>
      <c r="Z28" s="268">
        <f t="shared" si="29"/>
        <v>0</v>
      </c>
      <c r="AA28" s="268">
        <f t="shared" si="29"/>
        <v>0</v>
      </c>
      <c r="AB28" s="268">
        <f t="shared" si="29"/>
        <v>0</v>
      </c>
      <c r="AC28" s="269">
        <f t="shared" si="29"/>
        <v>0</v>
      </c>
      <c r="AD28" s="264">
        <f>SUM(AD29:AD30)</f>
        <v>0</v>
      </c>
      <c r="AE28" s="265">
        <f t="shared" si="7"/>
        <v>0</v>
      </c>
      <c r="AF28" s="266">
        <f t="shared" si="8"/>
        <v>0</v>
      </c>
      <c r="AG28" s="267">
        <f t="shared" ref="AG28:AO28" si="30">SUM(AG29:AG30)</f>
        <v>0</v>
      </c>
      <c r="AH28" s="268">
        <f t="shared" si="30"/>
        <v>0</v>
      </c>
      <c r="AI28" s="268">
        <f t="shared" si="30"/>
        <v>0</v>
      </c>
      <c r="AJ28" s="268">
        <f t="shared" si="30"/>
        <v>0</v>
      </c>
      <c r="AK28" s="268">
        <f t="shared" si="30"/>
        <v>0</v>
      </c>
      <c r="AL28" s="268">
        <f t="shared" si="30"/>
        <v>0</v>
      </c>
      <c r="AM28" s="268">
        <f t="shared" si="30"/>
        <v>0</v>
      </c>
      <c r="AN28" s="268">
        <f t="shared" si="30"/>
        <v>0</v>
      </c>
      <c r="AO28" s="269">
        <f t="shared" si="30"/>
        <v>0</v>
      </c>
      <c r="AP28" s="276">
        <v>17000</v>
      </c>
      <c r="AQ28" s="276">
        <v>17000</v>
      </c>
      <c r="AR28" s="277">
        <f>AQ28*100/AP28</f>
        <v>100</v>
      </c>
      <c r="AS28" s="278"/>
      <c r="AT28" s="279"/>
      <c r="AU28" s="279"/>
      <c r="AV28" s="279"/>
    </row>
    <row r="29" spans="1:48" outlineLevel="1" x14ac:dyDescent="0.25">
      <c r="A29" s="4" t="s">
        <v>66</v>
      </c>
      <c r="B29" s="75" t="s">
        <v>891</v>
      </c>
      <c r="C29" s="25" t="s">
        <v>900</v>
      </c>
      <c r="D29" s="92">
        <v>1</v>
      </c>
      <c r="E29" s="110">
        <v>3000</v>
      </c>
      <c r="F29" s="93"/>
      <c r="G29" s="74">
        <f t="shared" si="14"/>
        <v>0</v>
      </c>
      <c r="H29" s="95">
        <f t="shared" si="0"/>
        <v>0</v>
      </c>
      <c r="I29" s="112">
        <f>F29</f>
        <v>0</v>
      </c>
      <c r="J29" s="57"/>
      <c r="K29" s="57"/>
      <c r="L29" s="57"/>
      <c r="M29" s="57"/>
      <c r="N29" s="57"/>
      <c r="O29" s="57"/>
      <c r="P29" s="68"/>
      <c r="Q29" s="58"/>
      <c r="R29" s="93"/>
      <c r="S29" s="74">
        <f t="shared" si="15"/>
        <v>0</v>
      </c>
      <c r="T29" s="95">
        <f t="shared" si="2"/>
        <v>0</v>
      </c>
      <c r="U29" s="112">
        <f>R29</f>
        <v>0</v>
      </c>
      <c r="V29" s="57"/>
      <c r="W29" s="57"/>
      <c r="X29" s="57"/>
      <c r="Y29" s="57"/>
      <c r="Z29" s="57"/>
      <c r="AA29" s="57"/>
      <c r="AB29" s="68"/>
      <c r="AC29" s="58"/>
      <c r="AD29" s="170"/>
      <c r="AE29" s="89">
        <f t="shared" si="7"/>
        <v>0</v>
      </c>
      <c r="AF29" s="216">
        <f t="shared" si="8"/>
        <v>0</v>
      </c>
      <c r="AG29" s="147">
        <f>Q29</f>
        <v>0</v>
      </c>
      <c r="AH29" s="148"/>
      <c r="AI29" s="148"/>
      <c r="AJ29" s="148"/>
      <c r="AK29" s="148"/>
      <c r="AL29" s="148"/>
      <c r="AM29" s="148"/>
      <c r="AN29" s="149"/>
      <c r="AO29" s="150"/>
      <c r="AP29" s="76"/>
      <c r="AQ29" s="76"/>
      <c r="AR29" s="128"/>
      <c r="AS29" s="108"/>
      <c r="AT29" s="249"/>
      <c r="AU29" s="249"/>
      <c r="AV29" s="249"/>
    </row>
    <row r="30" spans="1:48" outlineLevel="1" x14ac:dyDescent="0.25">
      <c r="A30" s="4" t="s">
        <v>1028</v>
      </c>
      <c r="B30" s="75" t="s">
        <v>47</v>
      </c>
      <c r="C30" s="25"/>
      <c r="D30" s="92"/>
      <c r="E30" s="110"/>
      <c r="F30" s="93"/>
      <c r="G30" s="74">
        <f t="shared" si="14"/>
        <v>0</v>
      </c>
      <c r="H30" s="95">
        <f t="shared" si="0"/>
        <v>0</v>
      </c>
      <c r="I30" s="112">
        <f>F30</f>
        <v>0</v>
      </c>
      <c r="J30" s="57"/>
      <c r="K30" s="57"/>
      <c r="L30" s="57"/>
      <c r="M30" s="57"/>
      <c r="N30" s="57"/>
      <c r="O30" s="57"/>
      <c r="P30" s="68"/>
      <c r="Q30" s="58"/>
      <c r="R30" s="93"/>
      <c r="S30" s="74">
        <f t="shared" si="15"/>
        <v>0</v>
      </c>
      <c r="T30" s="95">
        <f t="shared" si="2"/>
        <v>0</v>
      </c>
      <c r="U30" s="112">
        <f>R30</f>
        <v>0</v>
      </c>
      <c r="V30" s="57"/>
      <c r="W30" s="57"/>
      <c r="X30" s="57"/>
      <c r="Y30" s="57"/>
      <c r="Z30" s="57"/>
      <c r="AA30" s="57"/>
      <c r="AB30" s="68"/>
      <c r="AC30" s="58"/>
      <c r="AD30" s="170"/>
      <c r="AE30" s="89">
        <f t="shared" si="7"/>
        <v>0</v>
      </c>
      <c r="AF30" s="216">
        <f t="shared" si="8"/>
        <v>0</v>
      </c>
      <c r="AG30" s="147">
        <f>Q30</f>
        <v>0</v>
      </c>
      <c r="AH30" s="148"/>
      <c r="AI30" s="148"/>
      <c r="AJ30" s="148"/>
      <c r="AK30" s="148"/>
      <c r="AL30" s="148"/>
      <c r="AM30" s="148"/>
      <c r="AN30" s="149"/>
      <c r="AO30" s="150"/>
      <c r="AP30" s="76"/>
      <c r="AQ30" s="76"/>
      <c r="AR30" s="128"/>
      <c r="AS30" s="108"/>
      <c r="AT30" s="249"/>
      <c r="AU30" s="249"/>
      <c r="AV30" s="249"/>
    </row>
    <row r="31" spans="1:48" s="280" customFormat="1" ht="15.75" x14ac:dyDescent="0.25">
      <c r="A31" s="270" t="s">
        <v>68</v>
      </c>
      <c r="B31" s="271" t="s">
        <v>155</v>
      </c>
      <c r="C31" s="272"/>
      <c r="D31" s="273"/>
      <c r="E31" s="274"/>
      <c r="F31" s="264">
        <f>SUM(F32:F33)</f>
        <v>0</v>
      </c>
      <c r="G31" s="265">
        <f t="shared" si="14"/>
        <v>0</v>
      </c>
      <c r="H31" s="275">
        <f t="shared" si="0"/>
        <v>0</v>
      </c>
      <c r="I31" s="267">
        <f t="shared" ref="I31:Q31" si="31">SUM(I32:I33)</f>
        <v>0</v>
      </c>
      <c r="J31" s="268">
        <f t="shared" si="31"/>
        <v>0</v>
      </c>
      <c r="K31" s="268">
        <f t="shared" si="31"/>
        <v>0</v>
      </c>
      <c r="L31" s="268">
        <f t="shared" si="31"/>
        <v>0</v>
      </c>
      <c r="M31" s="268">
        <f t="shared" si="31"/>
        <v>0</v>
      </c>
      <c r="N31" s="268">
        <f t="shared" si="31"/>
        <v>0</v>
      </c>
      <c r="O31" s="268">
        <f t="shared" si="31"/>
        <v>0</v>
      </c>
      <c r="P31" s="268">
        <f t="shared" si="31"/>
        <v>0</v>
      </c>
      <c r="Q31" s="269">
        <f t="shared" si="31"/>
        <v>0</v>
      </c>
      <c r="R31" s="264">
        <f>SUM(R32:R33)</f>
        <v>0</v>
      </c>
      <c r="S31" s="265">
        <f t="shared" si="15"/>
        <v>0</v>
      </c>
      <c r="T31" s="275">
        <f t="shared" si="2"/>
        <v>0</v>
      </c>
      <c r="U31" s="267">
        <f t="shared" ref="U31:AC31" si="32">SUM(U32:U33)</f>
        <v>0</v>
      </c>
      <c r="V31" s="268">
        <f t="shared" si="32"/>
        <v>0</v>
      </c>
      <c r="W31" s="268">
        <f t="shared" si="32"/>
        <v>0</v>
      </c>
      <c r="X31" s="268">
        <f t="shared" si="32"/>
        <v>0</v>
      </c>
      <c r="Y31" s="268">
        <f t="shared" si="32"/>
        <v>0</v>
      </c>
      <c r="Z31" s="268">
        <f t="shared" si="32"/>
        <v>0</v>
      </c>
      <c r="AA31" s="268">
        <f t="shared" si="32"/>
        <v>0</v>
      </c>
      <c r="AB31" s="268">
        <f t="shared" si="32"/>
        <v>0</v>
      </c>
      <c r="AC31" s="269">
        <f t="shared" si="32"/>
        <v>0</v>
      </c>
      <c r="AD31" s="264">
        <f>SUM(AD32:AD33)</f>
        <v>0</v>
      </c>
      <c r="AE31" s="265">
        <f t="shared" si="7"/>
        <v>0</v>
      </c>
      <c r="AF31" s="266">
        <f t="shared" si="8"/>
        <v>0</v>
      </c>
      <c r="AG31" s="267">
        <f t="shared" ref="AG31:AO31" si="33">SUM(AG32:AG33)</f>
        <v>0</v>
      </c>
      <c r="AH31" s="268">
        <f t="shared" si="33"/>
        <v>0</v>
      </c>
      <c r="AI31" s="268">
        <f t="shared" si="33"/>
        <v>0</v>
      </c>
      <c r="AJ31" s="268">
        <f t="shared" si="33"/>
        <v>0</v>
      </c>
      <c r="AK31" s="268">
        <f t="shared" si="33"/>
        <v>0</v>
      </c>
      <c r="AL31" s="268">
        <f t="shared" si="33"/>
        <v>0</v>
      </c>
      <c r="AM31" s="268">
        <f t="shared" si="33"/>
        <v>0</v>
      </c>
      <c r="AN31" s="268">
        <f t="shared" si="33"/>
        <v>0</v>
      </c>
      <c r="AO31" s="269">
        <f t="shared" si="33"/>
        <v>0</v>
      </c>
      <c r="AP31" s="276">
        <v>28500</v>
      </c>
      <c r="AQ31" s="276">
        <v>28500</v>
      </c>
      <c r="AR31" s="277">
        <f>AQ31*100/AP31</f>
        <v>100</v>
      </c>
      <c r="AS31" s="278"/>
      <c r="AT31" s="279"/>
      <c r="AU31" s="279"/>
      <c r="AV31" s="279"/>
    </row>
    <row r="32" spans="1:48" outlineLevel="1" x14ac:dyDescent="0.25">
      <c r="A32" s="4" t="s">
        <v>69</v>
      </c>
      <c r="B32" s="75" t="s">
        <v>156</v>
      </c>
      <c r="C32" s="25" t="s">
        <v>898</v>
      </c>
      <c r="D32" s="92">
        <v>1</v>
      </c>
      <c r="E32" s="110">
        <v>26000</v>
      </c>
      <c r="F32" s="93"/>
      <c r="G32" s="74">
        <f t="shared" si="14"/>
        <v>0</v>
      </c>
      <c r="H32" s="95">
        <f t="shared" si="0"/>
        <v>0</v>
      </c>
      <c r="I32" s="112">
        <f>F32</f>
        <v>0</v>
      </c>
      <c r="J32" s="57"/>
      <c r="K32" s="57"/>
      <c r="L32" s="57"/>
      <c r="M32" s="57"/>
      <c r="N32" s="57"/>
      <c r="O32" s="57"/>
      <c r="P32" s="68"/>
      <c r="Q32" s="58"/>
      <c r="R32" s="93"/>
      <c r="S32" s="74">
        <f t="shared" si="15"/>
        <v>0</v>
      </c>
      <c r="T32" s="95">
        <f t="shared" si="2"/>
        <v>0</v>
      </c>
      <c r="U32" s="112">
        <f>R32</f>
        <v>0</v>
      </c>
      <c r="V32" s="57"/>
      <c r="W32" s="57"/>
      <c r="X32" s="57"/>
      <c r="Y32" s="57"/>
      <c r="Z32" s="57"/>
      <c r="AA32" s="57"/>
      <c r="AB32" s="68"/>
      <c r="AC32" s="58"/>
      <c r="AD32" s="170"/>
      <c r="AE32" s="89">
        <f t="shared" si="7"/>
        <v>0</v>
      </c>
      <c r="AF32" s="216">
        <f t="shared" si="8"/>
        <v>0</v>
      </c>
      <c r="AG32" s="147">
        <f>Q32</f>
        <v>0</v>
      </c>
      <c r="AH32" s="148"/>
      <c r="AI32" s="148"/>
      <c r="AJ32" s="148"/>
      <c r="AK32" s="148"/>
      <c r="AL32" s="148"/>
      <c r="AM32" s="148"/>
      <c r="AN32" s="149"/>
      <c r="AO32" s="150"/>
      <c r="AP32" s="76"/>
      <c r="AQ32" s="76"/>
      <c r="AR32" s="128"/>
      <c r="AS32" s="108"/>
      <c r="AT32" s="249"/>
      <c r="AU32" s="249"/>
      <c r="AV32" s="249"/>
    </row>
    <row r="33" spans="1:48" outlineLevel="1" x14ac:dyDescent="0.25">
      <c r="A33" s="6" t="s">
        <v>70</v>
      </c>
      <c r="B33" s="75" t="s">
        <v>157</v>
      </c>
      <c r="C33" s="25" t="s">
        <v>899</v>
      </c>
      <c r="D33" s="92">
        <v>1</v>
      </c>
      <c r="E33" s="110">
        <v>2500</v>
      </c>
      <c r="F33" s="93"/>
      <c r="G33" s="74">
        <f t="shared" si="14"/>
        <v>0</v>
      </c>
      <c r="H33" s="95">
        <f t="shared" si="0"/>
        <v>0</v>
      </c>
      <c r="I33" s="112">
        <f>F33</f>
        <v>0</v>
      </c>
      <c r="J33" s="57"/>
      <c r="K33" s="57"/>
      <c r="L33" s="57"/>
      <c r="M33" s="57"/>
      <c r="N33" s="57"/>
      <c r="O33" s="57"/>
      <c r="P33" s="68"/>
      <c r="Q33" s="58"/>
      <c r="R33" s="93"/>
      <c r="S33" s="74">
        <f t="shared" si="15"/>
        <v>0</v>
      </c>
      <c r="T33" s="95">
        <f t="shared" si="2"/>
        <v>0</v>
      </c>
      <c r="U33" s="112">
        <f>R33</f>
        <v>0</v>
      </c>
      <c r="V33" s="57"/>
      <c r="W33" s="57"/>
      <c r="X33" s="57"/>
      <c r="Y33" s="57"/>
      <c r="Z33" s="57"/>
      <c r="AA33" s="57"/>
      <c r="AB33" s="68"/>
      <c r="AC33" s="58"/>
      <c r="AD33" s="170"/>
      <c r="AE33" s="89">
        <f t="shared" si="7"/>
        <v>0</v>
      </c>
      <c r="AF33" s="216">
        <f t="shared" si="8"/>
        <v>0</v>
      </c>
      <c r="AG33" s="147">
        <f>Q33</f>
        <v>0</v>
      </c>
      <c r="AH33" s="148"/>
      <c r="AI33" s="148"/>
      <c r="AJ33" s="148"/>
      <c r="AK33" s="148"/>
      <c r="AL33" s="148"/>
      <c r="AM33" s="148"/>
      <c r="AN33" s="149"/>
      <c r="AO33" s="150"/>
      <c r="AP33" s="76"/>
      <c r="AQ33" s="76"/>
      <c r="AR33" s="128"/>
      <c r="AS33" s="108"/>
      <c r="AT33" s="249"/>
      <c r="AU33" s="249"/>
      <c r="AV33" s="249"/>
    </row>
    <row r="34" spans="1:48" s="280" customFormat="1" ht="15.75" x14ac:dyDescent="0.25">
      <c r="A34" s="270" t="s">
        <v>535</v>
      </c>
      <c r="B34" s="271" t="s">
        <v>152</v>
      </c>
      <c r="C34" s="272"/>
      <c r="D34" s="273"/>
      <c r="E34" s="274"/>
      <c r="F34" s="264">
        <f>SUM(F35:F36)</f>
        <v>0</v>
      </c>
      <c r="G34" s="265">
        <f t="shared" si="14"/>
        <v>0</v>
      </c>
      <c r="H34" s="275">
        <f t="shared" si="0"/>
        <v>0</v>
      </c>
      <c r="I34" s="267">
        <f t="shared" ref="I34:Q34" si="34">SUM(I35:I36)</f>
        <v>0</v>
      </c>
      <c r="J34" s="268">
        <f t="shared" si="34"/>
        <v>0</v>
      </c>
      <c r="K34" s="268">
        <f t="shared" si="34"/>
        <v>0</v>
      </c>
      <c r="L34" s="268">
        <f t="shared" si="34"/>
        <v>0</v>
      </c>
      <c r="M34" s="268">
        <f t="shared" si="34"/>
        <v>0</v>
      </c>
      <c r="N34" s="268">
        <f t="shared" si="34"/>
        <v>0</v>
      </c>
      <c r="O34" s="268">
        <f t="shared" si="34"/>
        <v>0</v>
      </c>
      <c r="P34" s="268">
        <f t="shared" si="34"/>
        <v>0</v>
      </c>
      <c r="Q34" s="269">
        <f t="shared" si="34"/>
        <v>0</v>
      </c>
      <c r="R34" s="264">
        <f>SUM(R35:R36)</f>
        <v>0</v>
      </c>
      <c r="S34" s="265">
        <f t="shared" si="15"/>
        <v>0</v>
      </c>
      <c r="T34" s="275">
        <f t="shared" si="2"/>
        <v>0</v>
      </c>
      <c r="U34" s="267">
        <f t="shared" ref="U34:AC34" si="35">SUM(U35:U36)</f>
        <v>0</v>
      </c>
      <c r="V34" s="268">
        <f t="shared" si="35"/>
        <v>0</v>
      </c>
      <c r="W34" s="268">
        <f t="shared" si="35"/>
        <v>0</v>
      </c>
      <c r="X34" s="268">
        <f t="shared" si="35"/>
        <v>0</v>
      </c>
      <c r="Y34" s="268">
        <f t="shared" si="35"/>
        <v>0</v>
      </c>
      <c r="Z34" s="268">
        <f t="shared" si="35"/>
        <v>0</v>
      </c>
      <c r="AA34" s="268">
        <f t="shared" si="35"/>
        <v>0</v>
      </c>
      <c r="AB34" s="268">
        <f t="shared" si="35"/>
        <v>0</v>
      </c>
      <c r="AC34" s="269">
        <f t="shared" si="35"/>
        <v>0</v>
      </c>
      <c r="AD34" s="264">
        <f>SUM(AD35:AD36)</f>
        <v>0</v>
      </c>
      <c r="AE34" s="265">
        <f t="shared" si="7"/>
        <v>0</v>
      </c>
      <c r="AF34" s="266">
        <f t="shared" si="8"/>
        <v>0</v>
      </c>
      <c r="AG34" s="267">
        <f t="shared" ref="AG34:AO34" si="36">SUM(AG35:AG36)</f>
        <v>0</v>
      </c>
      <c r="AH34" s="268">
        <f t="shared" si="36"/>
        <v>0</v>
      </c>
      <c r="AI34" s="268">
        <f t="shared" si="36"/>
        <v>0</v>
      </c>
      <c r="AJ34" s="268">
        <f t="shared" si="36"/>
        <v>0</v>
      </c>
      <c r="AK34" s="268">
        <f t="shared" si="36"/>
        <v>0</v>
      </c>
      <c r="AL34" s="268">
        <f t="shared" si="36"/>
        <v>0</v>
      </c>
      <c r="AM34" s="268">
        <f t="shared" si="36"/>
        <v>0</v>
      </c>
      <c r="AN34" s="268">
        <f t="shared" si="36"/>
        <v>0</v>
      </c>
      <c r="AO34" s="269">
        <f t="shared" si="36"/>
        <v>0</v>
      </c>
      <c r="AP34" s="283"/>
      <c r="AQ34" s="284"/>
      <c r="AR34" s="285"/>
      <c r="AS34" s="278"/>
      <c r="AT34" s="279"/>
      <c r="AU34" s="279"/>
      <c r="AV34" s="279"/>
    </row>
    <row r="35" spans="1:48" outlineLevel="1" x14ac:dyDescent="0.25">
      <c r="A35" s="4" t="s">
        <v>71</v>
      </c>
      <c r="B35" s="75" t="s">
        <v>153</v>
      </c>
      <c r="C35" s="25" t="s">
        <v>887</v>
      </c>
      <c r="D35" s="92">
        <v>1</v>
      </c>
      <c r="E35" s="110">
        <f>I151</f>
        <v>18253</v>
      </c>
      <c r="F35" s="93"/>
      <c r="G35" s="74">
        <f t="shared" si="14"/>
        <v>0</v>
      </c>
      <c r="H35" s="95">
        <f t="shared" si="0"/>
        <v>0</v>
      </c>
      <c r="I35" s="112">
        <f>F35</f>
        <v>0</v>
      </c>
      <c r="J35" s="57"/>
      <c r="K35" s="57"/>
      <c r="L35" s="57"/>
      <c r="M35" s="57"/>
      <c r="N35" s="57"/>
      <c r="O35" s="57"/>
      <c r="P35" s="68"/>
      <c r="Q35" s="58"/>
      <c r="R35" s="93"/>
      <c r="S35" s="74">
        <f t="shared" si="15"/>
        <v>0</v>
      </c>
      <c r="T35" s="95">
        <f t="shared" si="2"/>
        <v>0</v>
      </c>
      <c r="U35" s="112">
        <f>R35</f>
        <v>0</v>
      </c>
      <c r="V35" s="57"/>
      <c r="W35" s="57"/>
      <c r="X35" s="57"/>
      <c r="Y35" s="57"/>
      <c r="Z35" s="57"/>
      <c r="AA35" s="57"/>
      <c r="AB35" s="68"/>
      <c r="AC35" s="58"/>
      <c r="AD35" s="170"/>
      <c r="AE35" s="89">
        <f t="shared" si="7"/>
        <v>0</v>
      </c>
      <c r="AF35" s="216">
        <f t="shared" si="8"/>
        <v>0</v>
      </c>
      <c r="AG35" s="147">
        <f>Q35</f>
        <v>0</v>
      </c>
      <c r="AH35" s="148"/>
      <c r="AI35" s="148"/>
      <c r="AJ35" s="148"/>
      <c r="AK35" s="148"/>
      <c r="AL35" s="148"/>
      <c r="AM35" s="148"/>
      <c r="AN35" s="149"/>
      <c r="AO35" s="150"/>
      <c r="AP35" s="76"/>
      <c r="AQ35" s="76"/>
      <c r="AR35" s="128"/>
      <c r="AS35" s="108"/>
      <c r="AT35" s="249"/>
      <c r="AU35" s="249"/>
      <c r="AV35" s="249"/>
    </row>
    <row r="36" spans="1:48" outlineLevel="1" x14ac:dyDescent="0.25">
      <c r="A36" s="6" t="s">
        <v>1029</v>
      </c>
      <c r="B36" s="75" t="s">
        <v>47</v>
      </c>
      <c r="C36" s="25"/>
      <c r="D36" s="92"/>
      <c r="E36" s="110"/>
      <c r="F36" s="93"/>
      <c r="G36" s="74">
        <f t="shared" si="14"/>
        <v>0</v>
      </c>
      <c r="H36" s="95">
        <f t="shared" si="0"/>
        <v>0</v>
      </c>
      <c r="I36" s="112">
        <f>F36</f>
        <v>0</v>
      </c>
      <c r="J36" s="57"/>
      <c r="K36" s="57"/>
      <c r="L36" s="57"/>
      <c r="M36" s="57"/>
      <c r="N36" s="57"/>
      <c r="O36" s="57"/>
      <c r="P36" s="68"/>
      <c r="Q36" s="58"/>
      <c r="R36" s="93"/>
      <c r="S36" s="74">
        <f t="shared" si="15"/>
        <v>0</v>
      </c>
      <c r="T36" s="95">
        <f t="shared" si="2"/>
        <v>0</v>
      </c>
      <c r="U36" s="112">
        <f>R36</f>
        <v>0</v>
      </c>
      <c r="V36" s="57"/>
      <c r="W36" s="57"/>
      <c r="X36" s="57"/>
      <c r="Y36" s="57"/>
      <c r="Z36" s="57"/>
      <c r="AA36" s="57"/>
      <c r="AB36" s="68"/>
      <c r="AC36" s="58"/>
      <c r="AD36" s="170"/>
      <c r="AE36" s="89">
        <f t="shared" si="7"/>
        <v>0</v>
      </c>
      <c r="AF36" s="216">
        <f t="shared" si="8"/>
        <v>0</v>
      </c>
      <c r="AG36" s="147">
        <f>Q36</f>
        <v>0</v>
      </c>
      <c r="AH36" s="148"/>
      <c r="AI36" s="148"/>
      <c r="AJ36" s="148"/>
      <c r="AK36" s="148"/>
      <c r="AL36" s="148"/>
      <c r="AM36" s="148"/>
      <c r="AN36" s="149"/>
      <c r="AO36" s="150"/>
      <c r="AP36" s="76"/>
      <c r="AQ36" s="76"/>
      <c r="AR36" s="128"/>
      <c r="AS36" s="108"/>
      <c r="AT36" s="249"/>
      <c r="AU36" s="249"/>
      <c r="AV36" s="249"/>
    </row>
    <row r="37" spans="1:48" s="2" customFormat="1" ht="21" x14ac:dyDescent="0.35">
      <c r="A37" s="8" t="s">
        <v>77</v>
      </c>
      <c r="B37" s="12" t="s">
        <v>712</v>
      </c>
      <c r="C37" s="21"/>
      <c r="D37" s="22"/>
      <c r="E37" s="22"/>
      <c r="F37" s="84">
        <f>F38+F43+F50+F56+F61+F65+F71+F77+F80</f>
        <v>99216</v>
      </c>
      <c r="G37" s="89">
        <f t="shared" si="14"/>
        <v>-6901</v>
      </c>
      <c r="H37" s="16">
        <f t="shared" si="0"/>
        <v>92315</v>
      </c>
      <c r="I37" s="51">
        <f t="shared" ref="I37:Q37" si="37">I38+I43+I50+I56+I61+I65+I71+I77+I80</f>
        <v>43200</v>
      </c>
      <c r="J37" s="52">
        <f t="shared" si="37"/>
        <v>6380</v>
      </c>
      <c r="K37" s="52">
        <f t="shared" si="37"/>
        <v>3895</v>
      </c>
      <c r="L37" s="52">
        <f t="shared" si="37"/>
        <v>0</v>
      </c>
      <c r="M37" s="52">
        <f t="shared" si="37"/>
        <v>0</v>
      </c>
      <c r="N37" s="52">
        <f t="shared" si="37"/>
        <v>15800</v>
      </c>
      <c r="O37" s="52">
        <f t="shared" si="37"/>
        <v>0</v>
      </c>
      <c r="P37" s="52">
        <f t="shared" si="37"/>
        <v>17740</v>
      </c>
      <c r="Q37" s="53">
        <f t="shared" si="37"/>
        <v>5300</v>
      </c>
      <c r="R37" s="84">
        <f>R38+R43+R50+R56+R61+R65+R71+R77+R80+R84</f>
        <v>99216</v>
      </c>
      <c r="S37" s="89">
        <f t="shared" si="15"/>
        <v>-7896</v>
      </c>
      <c r="T37" s="16">
        <f t="shared" si="2"/>
        <v>91320</v>
      </c>
      <c r="U37" s="51">
        <f>U38+U43+U50+U56+U61+U65+U71+U77+U80+U84</f>
        <v>43200</v>
      </c>
      <c r="V37" s="52">
        <f>V38+V43+V50+V56+V61+V65+V71+V77+V80+V84</f>
        <v>6380</v>
      </c>
      <c r="W37" s="219">
        <f>W38+W43+W50+W56+W61+W65+W71+W77+W80+V84</f>
        <v>2900</v>
      </c>
      <c r="X37" s="52">
        <f t="shared" ref="X37:AD37" si="38">X38+X43+X50+X56+X61+X65+X71+X77+X80+X84</f>
        <v>0</v>
      </c>
      <c r="Y37" s="52">
        <f t="shared" si="38"/>
        <v>0</v>
      </c>
      <c r="Z37" s="52">
        <f t="shared" si="38"/>
        <v>15800</v>
      </c>
      <c r="AA37" s="52">
        <f t="shared" si="38"/>
        <v>0</v>
      </c>
      <c r="AB37" s="52">
        <f t="shared" si="38"/>
        <v>17740</v>
      </c>
      <c r="AC37" s="52">
        <f t="shared" si="38"/>
        <v>5300</v>
      </c>
      <c r="AD37" s="255">
        <f t="shared" si="38"/>
        <v>30411.589999999997</v>
      </c>
      <c r="AE37" s="256">
        <f t="shared" si="7"/>
        <v>-29411.589999999997</v>
      </c>
      <c r="AF37" s="257">
        <f t="shared" si="8"/>
        <v>1000</v>
      </c>
      <c r="AG37" s="260">
        <f>AG38+AG43+AG50+AG56+AG61+AG65+AG71+AG77+AG80+AG84</f>
        <v>0</v>
      </c>
      <c r="AH37" s="260">
        <f t="shared" ref="AH37:AO37" si="39">AH38+AH43+AH50+AH56+AH61+AH65+AH71+AH77+AH80+AH84</f>
        <v>0</v>
      </c>
      <c r="AI37" s="260">
        <f t="shared" si="39"/>
        <v>0</v>
      </c>
      <c r="AJ37" s="260">
        <f t="shared" si="39"/>
        <v>0</v>
      </c>
      <c r="AK37" s="260">
        <f t="shared" si="39"/>
        <v>0</v>
      </c>
      <c r="AL37" s="258">
        <v>1000</v>
      </c>
      <c r="AM37" s="260">
        <f t="shared" si="39"/>
        <v>0</v>
      </c>
      <c r="AN37" s="260">
        <f t="shared" si="39"/>
        <v>0</v>
      </c>
      <c r="AO37" s="260">
        <f t="shared" si="39"/>
        <v>0</v>
      </c>
      <c r="AP37" s="32">
        <f>AP38+AP43+AP50+AP56+AP61+AP65+AP71+AP77+AP80</f>
        <v>72158</v>
      </c>
      <c r="AQ37" s="32">
        <f>AQ38+AQ43+AQ50+AQ56+AQ61+AQ65+AQ71+AQ77+AQ80</f>
        <v>50537.54</v>
      </c>
      <c r="AR37" s="126">
        <f>AQ37*100/AP37</f>
        <v>70.037334737659023</v>
      </c>
      <c r="AS37" s="108">
        <f t="shared" si="10"/>
        <v>1</v>
      </c>
      <c r="AT37" s="249">
        <f t="shared" si="11"/>
        <v>0.98922168661647625</v>
      </c>
      <c r="AU37" s="249">
        <f t="shared" si="12"/>
        <v>0.30651900903080143</v>
      </c>
      <c r="AV37" s="249">
        <f t="shared" si="13"/>
        <v>1.0832475762335482E-2</v>
      </c>
    </row>
    <row r="38" spans="1:48" s="280" customFormat="1" ht="15.75" outlineLevel="1" x14ac:dyDescent="0.25">
      <c r="A38" s="270" t="s">
        <v>1</v>
      </c>
      <c r="B38" s="271" t="s">
        <v>78</v>
      </c>
      <c r="C38" s="272"/>
      <c r="D38" s="273"/>
      <c r="E38" s="274"/>
      <c r="F38" s="264">
        <f>SUM(F39:F42)</f>
        <v>4150</v>
      </c>
      <c r="G38" s="265">
        <f t="shared" si="14"/>
        <v>0</v>
      </c>
      <c r="H38" s="275">
        <f t="shared" si="0"/>
        <v>4150</v>
      </c>
      <c r="I38" s="267">
        <f t="shared" ref="I38:Q38" si="40">SUM(I39:I42)</f>
        <v>1350</v>
      </c>
      <c r="J38" s="268">
        <f t="shared" si="40"/>
        <v>0</v>
      </c>
      <c r="K38" s="268">
        <f t="shared" si="40"/>
        <v>0</v>
      </c>
      <c r="L38" s="268">
        <f t="shared" si="40"/>
        <v>0</v>
      </c>
      <c r="M38" s="268">
        <f>SUM(M39:M42)</f>
        <v>0</v>
      </c>
      <c r="N38" s="268">
        <f t="shared" si="40"/>
        <v>2800</v>
      </c>
      <c r="O38" s="268">
        <f t="shared" si="40"/>
        <v>0</v>
      </c>
      <c r="P38" s="268">
        <f t="shared" si="40"/>
        <v>0</v>
      </c>
      <c r="Q38" s="269">
        <f t="shared" si="40"/>
        <v>0</v>
      </c>
      <c r="R38" s="264">
        <f>SUM(R39:R42)</f>
        <v>4150</v>
      </c>
      <c r="S38" s="265">
        <f t="shared" si="15"/>
        <v>0</v>
      </c>
      <c r="T38" s="275">
        <f t="shared" si="2"/>
        <v>4150</v>
      </c>
      <c r="U38" s="267">
        <f t="shared" ref="U38:AD38" si="41">SUM(U39:U42)</f>
        <v>1350</v>
      </c>
      <c r="V38" s="268">
        <f t="shared" si="41"/>
        <v>0</v>
      </c>
      <c r="W38" s="268">
        <f t="shared" si="41"/>
        <v>0</v>
      </c>
      <c r="X38" s="268">
        <f t="shared" si="41"/>
        <v>0</v>
      </c>
      <c r="Y38" s="268">
        <f t="shared" si="41"/>
        <v>0</v>
      </c>
      <c r="Z38" s="268">
        <f t="shared" si="41"/>
        <v>2800</v>
      </c>
      <c r="AA38" s="268">
        <f t="shared" si="41"/>
        <v>0</v>
      </c>
      <c r="AB38" s="268">
        <f t="shared" si="41"/>
        <v>0</v>
      </c>
      <c r="AC38" s="269">
        <f t="shared" si="41"/>
        <v>0</v>
      </c>
      <c r="AD38" s="264">
        <f t="shared" si="41"/>
        <v>1350</v>
      </c>
      <c r="AE38" s="265">
        <f t="shared" si="7"/>
        <v>-1350</v>
      </c>
      <c r="AF38" s="266">
        <f t="shared" si="8"/>
        <v>0</v>
      </c>
      <c r="AG38" s="267">
        <f t="shared" ref="AG38:AO38" si="42">SUM(AG39:AG42)</f>
        <v>0</v>
      </c>
      <c r="AH38" s="268">
        <f t="shared" si="42"/>
        <v>0</v>
      </c>
      <c r="AI38" s="268">
        <f t="shared" si="42"/>
        <v>0</v>
      </c>
      <c r="AJ38" s="268">
        <f t="shared" si="42"/>
        <v>0</v>
      </c>
      <c r="AK38" s="268">
        <f t="shared" si="42"/>
        <v>0</v>
      </c>
      <c r="AL38" s="268">
        <f t="shared" si="42"/>
        <v>0</v>
      </c>
      <c r="AM38" s="268">
        <f t="shared" si="42"/>
        <v>0</v>
      </c>
      <c r="AN38" s="268">
        <f t="shared" si="42"/>
        <v>0</v>
      </c>
      <c r="AO38" s="269">
        <f t="shared" si="42"/>
        <v>0</v>
      </c>
      <c r="AP38" s="276">
        <v>7568</v>
      </c>
      <c r="AQ38" s="276">
        <f>880+150+1118.74+2229.39</f>
        <v>4378.1299999999992</v>
      </c>
      <c r="AR38" s="277">
        <f>AQ38*100/AP38</f>
        <v>57.850554968287518</v>
      </c>
      <c r="AS38" s="278">
        <f t="shared" si="10"/>
        <v>1</v>
      </c>
      <c r="AT38" s="279">
        <f t="shared" si="11"/>
        <v>1</v>
      </c>
      <c r="AU38" s="279">
        <f t="shared" si="12"/>
        <v>0.3253012048192771</v>
      </c>
      <c r="AV38" s="279">
        <f t="shared" si="13"/>
        <v>0</v>
      </c>
    </row>
    <row r="39" spans="1:48" outlineLevel="1" x14ac:dyDescent="0.25">
      <c r="A39" s="4" t="s">
        <v>3</v>
      </c>
      <c r="B39" s="75" t="s">
        <v>79</v>
      </c>
      <c r="C39" s="25"/>
      <c r="D39" s="92">
        <v>1</v>
      </c>
      <c r="E39" s="110">
        <v>2000</v>
      </c>
      <c r="F39" s="93">
        <f>D39*E39</f>
        <v>2000</v>
      </c>
      <c r="G39" s="74">
        <f t="shared" si="14"/>
        <v>0</v>
      </c>
      <c r="H39" s="95">
        <f t="shared" si="0"/>
        <v>2000</v>
      </c>
      <c r="I39" s="112"/>
      <c r="J39" s="57"/>
      <c r="K39" s="57"/>
      <c r="L39" s="57"/>
      <c r="M39" s="57"/>
      <c r="N39" s="57">
        <v>2000</v>
      </c>
      <c r="O39" s="57"/>
      <c r="P39" s="68"/>
      <c r="Q39" s="58"/>
      <c r="R39" s="93">
        <v>2000</v>
      </c>
      <c r="S39" s="74">
        <f t="shared" si="15"/>
        <v>0</v>
      </c>
      <c r="T39" s="95">
        <f t="shared" si="2"/>
        <v>2000</v>
      </c>
      <c r="U39" s="112"/>
      <c r="V39" s="57"/>
      <c r="W39" s="57"/>
      <c r="X39" s="57"/>
      <c r="Y39" s="57"/>
      <c r="Z39" s="57">
        <v>2000</v>
      </c>
      <c r="AA39" s="57"/>
      <c r="AB39" s="68"/>
      <c r="AC39" s="58"/>
      <c r="AD39" s="170">
        <f>P39*Q39</f>
        <v>0</v>
      </c>
      <c r="AE39" s="89">
        <f t="shared" si="7"/>
        <v>0</v>
      </c>
      <c r="AF39" s="216">
        <f t="shared" si="8"/>
        <v>0</v>
      </c>
      <c r="AG39" s="147"/>
      <c r="AH39" s="148"/>
      <c r="AI39" s="148"/>
      <c r="AJ39" s="148"/>
      <c r="AK39" s="148"/>
      <c r="AL39" s="148"/>
      <c r="AM39" s="148"/>
      <c r="AN39" s="149"/>
      <c r="AO39" s="150"/>
      <c r="AP39" s="76"/>
      <c r="AQ39" s="76"/>
      <c r="AR39" s="128"/>
      <c r="AS39" s="108">
        <f t="shared" si="10"/>
        <v>1</v>
      </c>
      <c r="AT39" s="249">
        <f t="shared" si="11"/>
        <v>1</v>
      </c>
      <c r="AU39" s="249">
        <f t="shared" si="12"/>
        <v>0</v>
      </c>
      <c r="AV39" s="249">
        <f t="shared" si="13"/>
        <v>0</v>
      </c>
    </row>
    <row r="40" spans="1:48" outlineLevel="1" x14ac:dyDescent="0.25">
      <c r="A40" s="4" t="s">
        <v>4</v>
      </c>
      <c r="B40" s="75" t="s">
        <v>513</v>
      </c>
      <c r="C40" s="25"/>
      <c r="D40" s="92">
        <v>1</v>
      </c>
      <c r="E40" s="110">
        <v>800</v>
      </c>
      <c r="F40" s="93">
        <f>D40*E40</f>
        <v>800</v>
      </c>
      <c r="G40" s="74">
        <f t="shared" si="14"/>
        <v>0</v>
      </c>
      <c r="H40" s="95">
        <f t="shared" si="0"/>
        <v>800</v>
      </c>
      <c r="I40" s="112"/>
      <c r="J40" s="57"/>
      <c r="K40" s="57"/>
      <c r="L40" s="57"/>
      <c r="M40" s="57"/>
      <c r="N40" s="57">
        <v>800</v>
      </c>
      <c r="O40" s="57"/>
      <c r="P40" s="68"/>
      <c r="Q40" s="58"/>
      <c r="R40" s="93">
        <v>800</v>
      </c>
      <c r="S40" s="74">
        <f t="shared" si="15"/>
        <v>0</v>
      </c>
      <c r="T40" s="95">
        <f t="shared" si="2"/>
        <v>800</v>
      </c>
      <c r="U40" s="112"/>
      <c r="V40" s="57"/>
      <c r="W40" s="57"/>
      <c r="X40" s="57"/>
      <c r="Y40" s="57"/>
      <c r="Z40" s="57">
        <v>800</v>
      </c>
      <c r="AA40" s="57"/>
      <c r="AB40" s="68"/>
      <c r="AC40" s="58"/>
      <c r="AD40" s="170">
        <f>P40*Q40</f>
        <v>0</v>
      </c>
      <c r="AE40" s="89">
        <f t="shared" si="7"/>
        <v>0</v>
      </c>
      <c r="AF40" s="216">
        <f t="shared" si="8"/>
        <v>0</v>
      </c>
      <c r="AG40" s="147"/>
      <c r="AH40" s="148"/>
      <c r="AI40" s="148"/>
      <c r="AJ40" s="148"/>
      <c r="AK40" s="148"/>
      <c r="AL40" s="148"/>
      <c r="AM40" s="148"/>
      <c r="AN40" s="149"/>
      <c r="AO40" s="150"/>
      <c r="AP40" s="76"/>
      <c r="AQ40" s="76"/>
      <c r="AR40" s="128"/>
      <c r="AS40" s="108">
        <f t="shared" si="10"/>
        <v>1</v>
      </c>
      <c r="AT40" s="249">
        <f t="shared" si="11"/>
        <v>1</v>
      </c>
      <c r="AU40" s="249">
        <f t="shared" si="12"/>
        <v>0</v>
      </c>
      <c r="AV40" s="249">
        <f t="shared" si="13"/>
        <v>0</v>
      </c>
    </row>
    <row r="41" spans="1:48" outlineLevel="1" x14ac:dyDescent="0.25">
      <c r="A41" s="4" t="s">
        <v>5</v>
      </c>
      <c r="B41" s="75" t="s">
        <v>80</v>
      </c>
      <c r="C41" s="25"/>
      <c r="D41" s="92">
        <v>1</v>
      </c>
      <c r="E41" s="110">
        <v>1350</v>
      </c>
      <c r="F41" s="93">
        <f>D41*E41</f>
        <v>1350</v>
      </c>
      <c r="G41" s="74">
        <f t="shared" si="14"/>
        <v>0</v>
      </c>
      <c r="H41" s="95">
        <f t="shared" si="0"/>
        <v>1350</v>
      </c>
      <c r="I41" s="112">
        <f>F41</f>
        <v>1350</v>
      </c>
      <c r="J41" s="57"/>
      <c r="K41" s="57"/>
      <c r="L41" s="57"/>
      <c r="M41" s="57"/>
      <c r="N41" s="57"/>
      <c r="O41" s="57"/>
      <c r="P41" s="68"/>
      <c r="Q41" s="58"/>
      <c r="R41" s="93">
        <v>1350</v>
      </c>
      <c r="S41" s="74">
        <f t="shared" si="15"/>
        <v>0</v>
      </c>
      <c r="T41" s="95">
        <f t="shared" si="2"/>
        <v>1350</v>
      </c>
      <c r="U41" s="112">
        <f>R41</f>
        <v>1350</v>
      </c>
      <c r="V41" s="57"/>
      <c r="W41" s="57"/>
      <c r="X41" s="57"/>
      <c r="Y41" s="57"/>
      <c r="Z41" s="57"/>
      <c r="AA41" s="57"/>
      <c r="AB41" s="68"/>
      <c r="AC41" s="58"/>
      <c r="AD41" s="170">
        <v>1350</v>
      </c>
      <c r="AE41" s="89">
        <f t="shared" si="7"/>
        <v>-1350</v>
      </c>
      <c r="AF41" s="216">
        <f t="shared" si="8"/>
        <v>0</v>
      </c>
      <c r="AG41" s="147">
        <f>Q41</f>
        <v>0</v>
      </c>
      <c r="AH41" s="148"/>
      <c r="AI41" s="148"/>
      <c r="AJ41" s="148"/>
      <c r="AK41" s="148"/>
      <c r="AL41" s="148"/>
      <c r="AM41" s="148"/>
      <c r="AN41" s="149"/>
      <c r="AO41" s="150"/>
      <c r="AP41" s="76"/>
      <c r="AQ41" s="76"/>
      <c r="AR41" s="128"/>
      <c r="AS41" s="108">
        <f t="shared" si="10"/>
        <v>1</v>
      </c>
      <c r="AT41" s="249">
        <f t="shared" si="11"/>
        <v>1</v>
      </c>
      <c r="AU41" s="249">
        <f t="shared" si="12"/>
        <v>1</v>
      </c>
      <c r="AV41" s="249">
        <f t="shared" si="13"/>
        <v>0</v>
      </c>
    </row>
    <row r="42" spans="1:48" outlineLevel="1" x14ac:dyDescent="0.25">
      <c r="A42" s="4" t="s">
        <v>1030</v>
      </c>
      <c r="B42" s="75" t="s">
        <v>47</v>
      </c>
      <c r="C42" s="25"/>
      <c r="D42" s="92"/>
      <c r="E42" s="110"/>
      <c r="F42" s="93">
        <f>D42*E42</f>
        <v>0</v>
      </c>
      <c r="G42" s="74">
        <f t="shared" si="14"/>
        <v>0</v>
      </c>
      <c r="H42" s="95">
        <f t="shared" si="0"/>
        <v>0</v>
      </c>
      <c r="I42" s="112">
        <f>F42</f>
        <v>0</v>
      </c>
      <c r="J42" s="57"/>
      <c r="K42" s="57"/>
      <c r="L42" s="57"/>
      <c r="M42" s="57"/>
      <c r="N42" s="57"/>
      <c r="O42" s="57"/>
      <c r="P42" s="68"/>
      <c r="Q42" s="58"/>
      <c r="R42" s="93">
        <f>P42*Q42</f>
        <v>0</v>
      </c>
      <c r="S42" s="74">
        <f t="shared" si="15"/>
        <v>0</v>
      </c>
      <c r="T42" s="95">
        <f t="shared" si="2"/>
        <v>0</v>
      </c>
      <c r="U42" s="112">
        <f>R42</f>
        <v>0</v>
      </c>
      <c r="V42" s="57"/>
      <c r="W42" s="57"/>
      <c r="X42" s="57"/>
      <c r="Y42" s="57"/>
      <c r="Z42" s="57"/>
      <c r="AA42" s="57"/>
      <c r="AB42" s="68"/>
      <c r="AC42" s="58"/>
      <c r="AD42" s="170">
        <f>P42*Q42</f>
        <v>0</v>
      </c>
      <c r="AE42" s="89">
        <f t="shared" si="7"/>
        <v>0</v>
      </c>
      <c r="AF42" s="216">
        <f t="shared" si="8"/>
        <v>0</v>
      </c>
      <c r="AG42" s="147">
        <f>Q42</f>
        <v>0</v>
      </c>
      <c r="AH42" s="148"/>
      <c r="AI42" s="148"/>
      <c r="AJ42" s="148"/>
      <c r="AK42" s="148"/>
      <c r="AL42" s="148"/>
      <c r="AM42" s="148"/>
      <c r="AN42" s="149"/>
      <c r="AO42" s="150"/>
      <c r="AP42" s="76"/>
      <c r="AQ42" s="76"/>
      <c r="AR42" s="128"/>
      <c r="AS42" s="108"/>
      <c r="AT42" s="249"/>
      <c r="AU42" s="249"/>
      <c r="AV42" s="249"/>
    </row>
    <row r="43" spans="1:48" s="280" customFormat="1" ht="15.75" x14ac:dyDescent="0.25">
      <c r="A43" s="270" t="s">
        <v>2</v>
      </c>
      <c r="B43" s="271" t="s">
        <v>728</v>
      </c>
      <c r="C43" s="272"/>
      <c r="D43" s="273"/>
      <c r="E43" s="274"/>
      <c r="F43" s="264">
        <f>SUM(F44:F49)</f>
        <v>34096</v>
      </c>
      <c r="G43" s="265">
        <f t="shared" si="14"/>
        <v>-3601</v>
      </c>
      <c r="H43" s="275">
        <f t="shared" si="0"/>
        <v>30495</v>
      </c>
      <c r="I43" s="267">
        <f t="shared" ref="I43:Q43" si="43">SUM(I44:I49)</f>
        <v>7500</v>
      </c>
      <c r="J43" s="268">
        <f t="shared" si="43"/>
        <v>1000</v>
      </c>
      <c r="K43" s="268">
        <f t="shared" si="43"/>
        <v>3895</v>
      </c>
      <c r="L43" s="268">
        <f t="shared" si="43"/>
        <v>0</v>
      </c>
      <c r="M43" s="268">
        <f t="shared" si="43"/>
        <v>0</v>
      </c>
      <c r="N43" s="268">
        <f t="shared" si="43"/>
        <v>12000</v>
      </c>
      <c r="O43" s="268">
        <f t="shared" si="43"/>
        <v>0</v>
      </c>
      <c r="P43" s="268">
        <f t="shared" si="43"/>
        <v>1600</v>
      </c>
      <c r="Q43" s="269">
        <f t="shared" si="43"/>
        <v>4500</v>
      </c>
      <c r="R43" s="264">
        <f>SUM(R44:R49)</f>
        <v>34096</v>
      </c>
      <c r="S43" s="265">
        <f t="shared" si="15"/>
        <v>-4596</v>
      </c>
      <c r="T43" s="275">
        <f t="shared" si="2"/>
        <v>29500</v>
      </c>
      <c r="U43" s="267">
        <f t="shared" ref="U43:AC43" si="44">SUM(U44:U49)</f>
        <v>7500</v>
      </c>
      <c r="V43" s="268">
        <f t="shared" si="44"/>
        <v>1000</v>
      </c>
      <c r="W43" s="268">
        <f t="shared" si="44"/>
        <v>2900</v>
      </c>
      <c r="X43" s="268">
        <f t="shared" si="44"/>
        <v>0</v>
      </c>
      <c r="Y43" s="268">
        <f t="shared" si="44"/>
        <v>0</v>
      </c>
      <c r="Z43" s="268">
        <f t="shared" si="44"/>
        <v>12000</v>
      </c>
      <c r="AA43" s="268">
        <f t="shared" si="44"/>
        <v>0</v>
      </c>
      <c r="AB43" s="268">
        <f t="shared" si="44"/>
        <v>1600</v>
      </c>
      <c r="AC43" s="269">
        <f t="shared" si="44"/>
        <v>4500</v>
      </c>
      <c r="AD43" s="264">
        <f>SUM(AD44:AD49)</f>
        <v>9445.64</v>
      </c>
      <c r="AE43" s="265">
        <f t="shared" si="7"/>
        <v>-9445.64</v>
      </c>
      <c r="AF43" s="266">
        <f t="shared" si="8"/>
        <v>0</v>
      </c>
      <c r="AG43" s="267">
        <f t="shared" ref="AG43:AO43" si="45">SUM(AG44:AG49)</f>
        <v>0</v>
      </c>
      <c r="AH43" s="268">
        <f t="shared" si="45"/>
        <v>0</v>
      </c>
      <c r="AI43" s="268">
        <f t="shared" si="45"/>
        <v>0</v>
      </c>
      <c r="AJ43" s="268">
        <f t="shared" si="45"/>
        <v>0</v>
      </c>
      <c r="AK43" s="268">
        <f t="shared" si="45"/>
        <v>0</v>
      </c>
      <c r="AL43" s="268">
        <f t="shared" si="45"/>
        <v>0</v>
      </c>
      <c r="AM43" s="268">
        <f t="shared" si="45"/>
        <v>0</v>
      </c>
      <c r="AN43" s="268">
        <f t="shared" si="45"/>
        <v>0</v>
      </c>
      <c r="AO43" s="269">
        <f t="shared" si="45"/>
        <v>0</v>
      </c>
      <c r="AP43" s="276">
        <v>35000</v>
      </c>
      <c r="AQ43" s="276">
        <f>21630.2+2405.79</f>
        <v>24035.99</v>
      </c>
      <c r="AR43" s="277">
        <f>AQ43*100/AP43</f>
        <v>68.674257142857144</v>
      </c>
      <c r="AS43" s="278">
        <f t="shared" si="10"/>
        <v>1</v>
      </c>
      <c r="AT43" s="279">
        <f t="shared" si="11"/>
        <v>0.9673717002787342</v>
      </c>
      <c r="AU43" s="279">
        <f t="shared" si="12"/>
        <v>0.27703073674331297</v>
      </c>
      <c r="AV43" s="279">
        <f t="shared" si="13"/>
        <v>0</v>
      </c>
    </row>
    <row r="44" spans="1:48" outlineLevel="1" x14ac:dyDescent="0.25">
      <c r="A44" s="4" t="s">
        <v>10</v>
      </c>
      <c r="B44" s="75" t="s">
        <v>82</v>
      </c>
      <c r="C44" s="25" t="s">
        <v>923</v>
      </c>
      <c r="D44" s="92">
        <v>2</v>
      </c>
      <c r="E44" s="110">
        <v>1500</v>
      </c>
      <c r="F44" s="93">
        <f t="shared" ref="F44:F49" si="46">D44*E44</f>
        <v>3000</v>
      </c>
      <c r="G44" s="74">
        <f t="shared" si="14"/>
        <v>0</v>
      </c>
      <c r="H44" s="95">
        <f t="shared" si="0"/>
        <v>3000</v>
      </c>
      <c r="I44" s="112"/>
      <c r="J44" s="57"/>
      <c r="K44" s="57">
        <v>3000</v>
      </c>
      <c r="L44" s="57"/>
      <c r="M44" s="57"/>
      <c r="N44" s="57"/>
      <c r="O44" s="57"/>
      <c r="P44" s="68"/>
      <c r="Q44" s="58"/>
      <c r="R44" s="93">
        <v>3000</v>
      </c>
      <c r="S44" s="74">
        <f t="shared" si="15"/>
        <v>-500</v>
      </c>
      <c r="T44" s="95">
        <f t="shared" si="2"/>
        <v>2500</v>
      </c>
      <c r="U44" s="112"/>
      <c r="V44" s="57"/>
      <c r="W44" s="57">
        <v>2500</v>
      </c>
      <c r="X44" s="57"/>
      <c r="Y44" s="57"/>
      <c r="Z44" s="57"/>
      <c r="AA44" s="57"/>
      <c r="AB44" s="68"/>
      <c r="AC44" s="58"/>
      <c r="AD44" s="170">
        <v>1271.72</v>
      </c>
      <c r="AE44" s="89">
        <f t="shared" si="7"/>
        <v>-1271.72</v>
      </c>
      <c r="AF44" s="216">
        <f t="shared" si="8"/>
        <v>0</v>
      </c>
      <c r="AG44" s="147"/>
      <c r="AH44" s="148"/>
      <c r="AI44" s="148"/>
      <c r="AJ44" s="148"/>
      <c r="AK44" s="148"/>
      <c r="AL44" s="148"/>
      <c r="AM44" s="148"/>
      <c r="AN44" s="149"/>
      <c r="AO44" s="150"/>
      <c r="AP44" s="76"/>
      <c r="AQ44" s="76"/>
      <c r="AR44" s="128"/>
      <c r="AS44" s="108">
        <f t="shared" si="10"/>
        <v>1</v>
      </c>
      <c r="AT44" s="249">
        <f t="shared" si="11"/>
        <v>0.83333333333333337</v>
      </c>
      <c r="AU44" s="249">
        <f t="shared" si="12"/>
        <v>0.42390666666666665</v>
      </c>
      <c r="AV44" s="249">
        <f t="shared" si="13"/>
        <v>0</v>
      </c>
    </row>
    <row r="45" spans="1:48" outlineLevel="1" x14ac:dyDescent="0.25">
      <c r="A45" s="4" t="s">
        <v>11</v>
      </c>
      <c r="B45" s="75" t="s">
        <v>514</v>
      </c>
      <c r="C45" s="25"/>
      <c r="D45" s="92">
        <v>1</v>
      </c>
      <c r="E45" s="110">
        <v>19996</v>
      </c>
      <c r="F45" s="93">
        <f t="shared" si="46"/>
        <v>19996</v>
      </c>
      <c r="G45" s="74">
        <f t="shared" si="14"/>
        <v>-1601</v>
      </c>
      <c r="H45" s="95">
        <f t="shared" si="0"/>
        <v>18395</v>
      </c>
      <c r="I45" s="112">
        <v>3000</v>
      </c>
      <c r="J45" s="57">
        <v>1000</v>
      </c>
      <c r="K45" s="57">
        <v>895</v>
      </c>
      <c r="L45" s="57"/>
      <c r="M45" s="57"/>
      <c r="N45" s="57">
        <v>9000</v>
      </c>
      <c r="O45" s="57"/>
      <c r="P45" s="68"/>
      <c r="Q45" s="58">
        <v>4500</v>
      </c>
      <c r="R45" s="93">
        <v>19996</v>
      </c>
      <c r="S45" s="74">
        <f t="shared" si="15"/>
        <v>-2096</v>
      </c>
      <c r="T45" s="95">
        <f t="shared" si="2"/>
        <v>17900</v>
      </c>
      <c r="U45" s="112">
        <v>3000</v>
      </c>
      <c r="V45" s="57">
        <v>1000</v>
      </c>
      <c r="W45" s="57">
        <v>400</v>
      </c>
      <c r="X45" s="57"/>
      <c r="Y45" s="57"/>
      <c r="Z45" s="57">
        <v>9000</v>
      </c>
      <c r="AA45" s="57"/>
      <c r="AB45" s="68"/>
      <c r="AC45" s="58">
        <v>4500</v>
      </c>
      <c r="AD45" s="170">
        <v>4698.37</v>
      </c>
      <c r="AE45" s="89">
        <f t="shared" si="7"/>
        <v>-4698.37</v>
      </c>
      <c r="AF45" s="216">
        <f t="shared" si="8"/>
        <v>0</v>
      </c>
      <c r="AG45" s="147"/>
      <c r="AH45" s="148"/>
      <c r="AI45" s="148"/>
      <c r="AJ45" s="148"/>
      <c r="AK45" s="148"/>
      <c r="AL45" s="148"/>
      <c r="AM45" s="148"/>
      <c r="AN45" s="149"/>
      <c r="AO45" s="150"/>
      <c r="AP45" s="76"/>
      <c r="AQ45" s="76"/>
      <c r="AR45" s="128"/>
      <c r="AS45" s="108">
        <f t="shared" si="10"/>
        <v>1</v>
      </c>
      <c r="AT45" s="249">
        <f t="shared" si="11"/>
        <v>0.97309051372655608</v>
      </c>
      <c r="AU45" s="249">
        <f t="shared" si="12"/>
        <v>0.23496549309861972</v>
      </c>
      <c r="AV45" s="249">
        <f t="shared" si="13"/>
        <v>0</v>
      </c>
    </row>
    <row r="46" spans="1:48" outlineLevel="1" x14ac:dyDescent="0.25">
      <c r="A46" s="4" t="s">
        <v>12</v>
      </c>
      <c r="B46" s="75" t="s">
        <v>740</v>
      </c>
      <c r="C46" s="25"/>
      <c r="D46" s="92">
        <v>1</v>
      </c>
      <c r="E46" s="110">
        <v>750</v>
      </c>
      <c r="F46" s="93">
        <f t="shared" si="46"/>
        <v>750</v>
      </c>
      <c r="G46" s="74">
        <f t="shared" si="14"/>
        <v>0</v>
      </c>
      <c r="H46" s="95">
        <f t="shared" si="0"/>
        <v>750</v>
      </c>
      <c r="I46" s="112">
        <v>750</v>
      </c>
      <c r="J46" s="57"/>
      <c r="K46" s="57"/>
      <c r="L46" s="57"/>
      <c r="M46" s="57"/>
      <c r="N46" s="57"/>
      <c r="O46" s="57"/>
      <c r="P46" s="68"/>
      <c r="Q46" s="58"/>
      <c r="R46" s="93">
        <v>750</v>
      </c>
      <c r="S46" s="74">
        <f t="shared" si="15"/>
        <v>0</v>
      </c>
      <c r="T46" s="95">
        <f t="shared" si="2"/>
        <v>750</v>
      </c>
      <c r="U46" s="112">
        <v>750</v>
      </c>
      <c r="V46" s="57"/>
      <c r="W46" s="57"/>
      <c r="X46" s="57"/>
      <c r="Y46" s="57"/>
      <c r="Z46" s="57"/>
      <c r="AA46" s="57"/>
      <c r="AB46" s="68"/>
      <c r="AC46" s="58"/>
      <c r="AD46" s="170">
        <f>P46*Q46</f>
        <v>0</v>
      </c>
      <c r="AE46" s="89">
        <f t="shared" si="7"/>
        <v>0</v>
      </c>
      <c r="AF46" s="216">
        <f t="shared" si="8"/>
        <v>0</v>
      </c>
      <c r="AG46" s="147"/>
      <c r="AH46" s="148"/>
      <c r="AI46" s="148"/>
      <c r="AJ46" s="148"/>
      <c r="AK46" s="148"/>
      <c r="AL46" s="148"/>
      <c r="AM46" s="148"/>
      <c r="AN46" s="149"/>
      <c r="AO46" s="150"/>
      <c r="AP46" s="76"/>
      <c r="AQ46" s="76"/>
      <c r="AR46" s="128"/>
      <c r="AS46" s="108">
        <f t="shared" si="10"/>
        <v>1</v>
      </c>
      <c r="AT46" s="249">
        <f t="shared" si="11"/>
        <v>1</v>
      </c>
      <c r="AU46" s="249">
        <f t="shared" si="12"/>
        <v>0</v>
      </c>
      <c r="AV46" s="249">
        <f t="shared" si="13"/>
        <v>0</v>
      </c>
    </row>
    <row r="47" spans="1:48" outlineLevel="1" x14ac:dyDescent="0.25">
      <c r="A47" s="4" t="s">
        <v>13</v>
      </c>
      <c r="B47" s="75" t="s">
        <v>739</v>
      </c>
      <c r="C47" s="25"/>
      <c r="D47" s="92">
        <v>1</v>
      </c>
      <c r="E47" s="110">
        <v>750</v>
      </c>
      <c r="F47" s="93">
        <f t="shared" si="46"/>
        <v>750</v>
      </c>
      <c r="G47" s="74">
        <f t="shared" si="14"/>
        <v>0</v>
      </c>
      <c r="H47" s="95">
        <f t="shared" si="0"/>
        <v>750</v>
      </c>
      <c r="I47" s="112">
        <v>750</v>
      </c>
      <c r="J47" s="57"/>
      <c r="K47" s="57"/>
      <c r="L47" s="57"/>
      <c r="M47" s="57"/>
      <c r="N47" s="57"/>
      <c r="O47" s="57"/>
      <c r="P47" s="68"/>
      <c r="Q47" s="58"/>
      <c r="R47" s="93">
        <v>750</v>
      </c>
      <c r="S47" s="74">
        <f t="shared" si="15"/>
        <v>0</v>
      </c>
      <c r="T47" s="95">
        <f t="shared" si="2"/>
        <v>750</v>
      </c>
      <c r="U47" s="112">
        <v>750</v>
      </c>
      <c r="V47" s="57"/>
      <c r="W47" s="57"/>
      <c r="X47" s="57"/>
      <c r="Y47" s="57"/>
      <c r="Z47" s="57"/>
      <c r="AA47" s="57"/>
      <c r="AB47" s="68"/>
      <c r="AC47" s="58"/>
      <c r="AD47" s="170">
        <f>P47*Q47</f>
        <v>0</v>
      </c>
      <c r="AE47" s="89">
        <f t="shared" si="7"/>
        <v>0</v>
      </c>
      <c r="AF47" s="216">
        <f t="shared" si="8"/>
        <v>0</v>
      </c>
      <c r="AG47" s="147"/>
      <c r="AH47" s="148"/>
      <c r="AI47" s="148"/>
      <c r="AJ47" s="148"/>
      <c r="AK47" s="148"/>
      <c r="AL47" s="148"/>
      <c r="AM47" s="148"/>
      <c r="AN47" s="149"/>
      <c r="AO47" s="150"/>
      <c r="AP47" s="76"/>
      <c r="AQ47" s="76"/>
      <c r="AR47" s="128"/>
      <c r="AS47" s="108">
        <f t="shared" si="10"/>
        <v>1</v>
      </c>
      <c r="AT47" s="249">
        <f t="shared" si="11"/>
        <v>1</v>
      </c>
      <c r="AU47" s="249">
        <f t="shared" si="12"/>
        <v>0</v>
      </c>
      <c r="AV47" s="249">
        <f t="shared" si="13"/>
        <v>0</v>
      </c>
    </row>
    <row r="48" spans="1:48" outlineLevel="1" x14ac:dyDescent="0.25">
      <c r="A48" s="4" t="s">
        <v>14</v>
      </c>
      <c r="B48" s="75" t="s">
        <v>989</v>
      </c>
      <c r="C48" s="109"/>
      <c r="D48" s="118">
        <v>12</v>
      </c>
      <c r="E48" s="119">
        <v>800</v>
      </c>
      <c r="F48" s="93">
        <f>D48*E48</f>
        <v>9600</v>
      </c>
      <c r="G48" s="74">
        <f>H48-F48</f>
        <v>-2000</v>
      </c>
      <c r="H48" s="95">
        <f t="shared" si="0"/>
        <v>7600</v>
      </c>
      <c r="I48" s="112">
        <v>3000</v>
      </c>
      <c r="J48" s="57"/>
      <c r="K48" s="57"/>
      <c r="L48" s="57"/>
      <c r="M48" s="57"/>
      <c r="N48" s="57">
        <v>3000</v>
      </c>
      <c r="O48" s="57"/>
      <c r="P48" s="68">
        <v>1600</v>
      </c>
      <c r="Q48" s="58"/>
      <c r="R48" s="93">
        <v>9600</v>
      </c>
      <c r="S48" s="74">
        <f>T48-R48</f>
        <v>-2000</v>
      </c>
      <c r="T48" s="95">
        <f t="shared" si="2"/>
        <v>7600</v>
      </c>
      <c r="U48" s="112">
        <v>3000</v>
      </c>
      <c r="V48" s="57"/>
      <c r="W48" s="57"/>
      <c r="X48" s="57"/>
      <c r="Y48" s="57"/>
      <c r="Z48" s="57">
        <v>3000</v>
      </c>
      <c r="AA48" s="57"/>
      <c r="AB48" s="68">
        <v>1600</v>
      </c>
      <c r="AC48" s="58"/>
      <c r="AD48" s="170">
        <v>3382</v>
      </c>
      <c r="AE48" s="89">
        <f t="shared" si="7"/>
        <v>-3382</v>
      </c>
      <c r="AF48" s="216">
        <f t="shared" si="8"/>
        <v>0</v>
      </c>
      <c r="AG48" s="147"/>
      <c r="AH48" s="148"/>
      <c r="AI48" s="148"/>
      <c r="AJ48" s="148"/>
      <c r="AK48" s="148"/>
      <c r="AL48" s="148"/>
      <c r="AM48" s="148"/>
      <c r="AN48" s="149"/>
      <c r="AO48" s="150"/>
      <c r="AP48" s="76"/>
      <c r="AQ48" s="76"/>
      <c r="AR48" s="128"/>
      <c r="AS48" s="108">
        <f t="shared" si="10"/>
        <v>1</v>
      </c>
      <c r="AT48" s="249">
        <f t="shared" si="11"/>
        <v>1</v>
      </c>
      <c r="AU48" s="249">
        <f t="shared" si="12"/>
        <v>0.35229166666666667</v>
      </c>
      <c r="AV48" s="249">
        <f t="shared" si="13"/>
        <v>0</v>
      </c>
    </row>
    <row r="49" spans="1:48" outlineLevel="1" x14ac:dyDescent="0.25">
      <c r="A49" s="4" t="s">
        <v>1031</v>
      </c>
      <c r="B49" s="75" t="s">
        <v>47</v>
      </c>
      <c r="C49" s="25"/>
      <c r="D49" s="92"/>
      <c r="E49" s="110"/>
      <c r="F49" s="93">
        <f t="shared" si="46"/>
        <v>0</v>
      </c>
      <c r="G49" s="74">
        <f t="shared" si="14"/>
        <v>0</v>
      </c>
      <c r="H49" s="95">
        <f t="shared" si="0"/>
        <v>0</v>
      </c>
      <c r="I49" s="112"/>
      <c r="J49" s="57"/>
      <c r="K49" s="57"/>
      <c r="L49" s="57"/>
      <c r="M49" s="57"/>
      <c r="N49" s="57"/>
      <c r="O49" s="57"/>
      <c r="P49" s="68"/>
      <c r="Q49" s="58"/>
      <c r="R49" s="93">
        <f>P49*Q49</f>
        <v>0</v>
      </c>
      <c r="S49" s="74">
        <f>T49-R49</f>
        <v>0</v>
      </c>
      <c r="T49" s="95">
        <f t="shared" si="2"/>
        <v>0</v>
      </c>
      <c r="U49" s="112"/>
      <c r="V49" s="57"/>
      <c r="W49" s="57"/>
      <c r="X49" s="57"/>
      <c r="Y49" s="57"/>
      <c r="Z49" s="57"/>
      <c r="AA49" s="57"/>
      <c r="AB49" s="68"/>
      <c r="AC49" s="58"/>
      <c r="AD49" s="170">
        <v>93.55</v>
      </c>
      <c r="AE49" s="89">
        <f t="shared" si="7"/>
        <v>-93.55</v>
      </c>
      <c r="AF49" s="216">
        <f t="shared" si="8"/>
        <v>0</v>
      </c>
      <c r="AG49" s="147"/>
      <c r="AH49" s="148"/>
      <c r="AI49" s="148"/>
      <c r="AJ49" s="148"/>
      <c r="AK49" s="148"/>
      <c r="AL49" s="148"/>
      <c r="AM49" s="148"/>
      <c r="AN49" s="149"/>
      <c r="AO49" s="150"/>
      <c r="AP49" s="76"/>
      <c r="AQ49" s="76"/>
      <c r="AR49" s="128"/>
      <c r="AS49" s="108"/>
      <c r="AT49" s="249"/>
      <c r="AU49" s="249"/>
      <c r="AV49" s="249"/>
    </row>
    <row r="50" spans="1:48" s="280" customFormat="1" ht="15.75" x14ac:dyDescent="0.25">
      <c r="A50" s="270" t="s">
        <v>26</v>
      </c>
      <c r="B50" s="271" t="s">
        <v>322</v>
      </c>
      <c r="C50" s="272"/>
      <c r="D50" s="273"/>
      <c r="E50" s="274"/>
      <c r="F50" s="264">
        <f>SUM(F51:F55)</f>
        <v>4500</v>
      </c>
      <c r="G50" s="265">
        <f>SUM(G51:G55)</f>
        <v>-3500</v>
      </c>
      <c r="H50" s="275">
        <f t="shared" si="0"/>
        <v>1000</v>
      </c>
      <c r="I50" s="267">
        <f t="shared" ref="I50:Q50" si="47">SUM(I51:I55)</f>
        <v>0</v>
      </c>
      <c r="J50" s="268">
        <f t="shared" si="47"/>
        <v>0</v>
      </c>
      <c r="K50" s="268">
        <f t="shared" si="47"/>
        <v>0</v>
      </c>
      <c r="L50" s="268">
        <f t="shared" si="47"/>
        <v>0</v>
      </c>
      <c r="M50" s="268">
        <f t="shared" si="47"/>
        <v>0</v>
      </c>
      <c r="N50" s="268">
        <f t="shared" si="47"/>
        <v>1000</v>
      </c>
      <c r="O50" s="268">
        <f t="shared" si="47"/>
        <v>0</v>
      </c>
      <c r="P50" s="268">
        <f t="shared" si="47"/>
        <v>0</v>
      </c>
      <c r="Q50" s="269">
        <f t="shared" si="47"/>
        <v>0</v>
      </c>
      <c r="R50" s="264">
        <f>SUM(R51:R55)</f>
        <v>4500</v>
      </c>
      <c r="S50" s="265">
        <f>SUM(S51:S55)</f>
        <v>-3500</v>
      </c>
      <c r="T50" s="275">
        <f t="shared" si="2"/>
        <v>1000</v>
      </c>
      <c r="U50" s="267">
        <f t="shared" ref="U50:AC50" si="48">SUM(U51:U55)</f>
        <v>0</v>
      </c>
      <c r="V50" s="268">
        <f t="shared" si="48"/>
        <v>0</v>
      </c>
      <c r="W50" s="268">
        <f t="shared" si="48"/>
        <v>0</v>
      </c>
      <c r="X50" s="268">
        <f t="shared" si="48"/>
        <v>0</v>
      </c>
      <c r="Y50" s="268">
        <f t="shared" si="48"/>
        <v>0</v>
      </c>
      <c r="Z50" s="268">
        <f t="shared" si="48"/>
        <v>1000</v>
      </c>
      <c r="AA50" s="268">
        <f t="shared" si="48"/>
        <v>0</v>
      </c>
      <c r="AB50" s="268">
        <f t="shared" si="48"/>
        <v>0</v>
      </c>
      <c r="AC50" s="269">
        <f t="shared" si="48"/>
        <v>0</v>
      </c>
      <c r="AD50" s="264">
        <f>SUM(AD51:AD55)</f>
        <v>2322</v>
      </c>
      <c r="AE50" s="265">
        <f t="shared" si="7"/>
        <v>-2322</v>
      </c>
      <c r="AF50" s="266">
        <f t="shared" si="8"/>
        <v>0</v>
      </c>
      <c r="AG50" s="267">
        <f t="shared" ref="AG50:AO50" si="49">SUM(AG51:AG55)</f>
        <v>0</v>
      </c>
      <c r="AH50" s="268">
        <f t="shared" si="49"/>
        <v>0</v>
      </c>
      <c r="AI50" s="268">
        <f t="shared" si="49"/>
        <v>0</v>
      </c>
      <c r="AJ50" s="268">
        <f t="shared" si="49"/>
        <v>0</v>
      </c>
      <c r="AK50" s="268">
        <f t="shared" si="49"/>
        <v>0</v>
      </c>
      <c r="AL50" s="268">
        <f t="shared" si="49"/>
        <v>0</v>
      </c>
      <c r="AM50" s="268">
        <f t="shared" si="49"/>
        <v>0</v>
      </c>
      <c r="AN50" s="268">
        <f t="shared" si="49"/>
        <v>0</v>
      </c>
      <c r="AO50" s="269">
        <f t="shared" si="49"/>
        <v>0</v>
      </c>
      <c r="AP50" s="276">
        <v>4000</v>
      </c>
      <c r="AQ50" s="276">
        <v>9634.94</v>
      </c>
      <c r="AR50" s="277">
        <f>AQ50*100/AP50</f>
        <v>240.87350000000001</v>
      </c>
      <c r="AS50" s="278">
        <f t="shared" si="10"/>
        <v>1</v>
      </c>
      <c r="AT50" s="279">
        <f t="shared" si="11"/>
        <v>1</v>
      </c>
      <c r="AU50" s="279">
        <f t="shared" si="12"/>
        <v>0.51600000000000001</v>
      </c>
      <c r="AV50" s="279">
        <f t="shared" si="13"/>
        <v>0</v>
      </c>
    </row>
    <row r="51" spans="1:48" outlineLevel="1" x14ac:dyDescent="0.25">
      <c r="A51" s="5" t="s">
        <v>715</v>
      </c>
      <c r="B51" s="75" t="s">
        <v>731</v>
      </c>
      <c r="C51" s="25"/>
      <c r="D51" s="92">
        <v>3</v>
      </c>
      <c r="E51" s="110">
        <v>1000</v>
      </c>
      <c r="F51" s="93">
        <f>D51*E51</f>
        <v>3000</v>
      </c>
      <c r="G51" s="74">
        <f>H51-F51</f>
        <v>-2000</v>
      </c>
      <c r="H51" s="95">
        <f t="shared" si="0"/>
        <v>1000</v>
      </c>
      <c r="I51" s="112"/>
      <c r="J51" s="57"/>
      <c r="K51" s="57"/>
      <c r="L51" s="57"/>
      <c r="M51" s="57"/>
      <c r="N51" s="57">
        <v>1000</v>
      </c>
      <c r="O51" s="57"/>
      <c r="P51" s="68"/>
      <c r="Q51" s="58"/>
      <c r="R51" s="93">
        <v>3000</v>
      </c>
      <c r="S51" s="74">
        <f>T51-R51</f>
        <v>-2000</v>
      </c>
      <c r="T51" s="95">
        <f t="shared" si="2"/>
        <v>1000</v>
      </c>
      <c r="U51" s="112"/>
      <c r="V51" s="57"/>
      <c r="W51" s="57"/>
      <c r="X51" s="57"/>
      <c r="Y51" s="57"/>
      <c r="Z51" s="57">
        <v>1000</v>
      </c>
      <c r="AA51" s="57"/>
      <c r="AB51" s="68"/>
      <c r="AC51" s="58"/>
      <c r="AD51" s="170">
        <v>852.24</v>
      </c>
      <c r="AE51" s="89">
        <f t="shared" si="7"/>
        <v>-852.24</v>
      </c>
      <c r="AF51" s="216">
        <f t="shared" si="8"/>
        <v>0</v>
      </c>
      <c r="AG51" s="147"/>
      <c r="AH51" s="148"/>
      <c r="AI51" s="148"/>
      <c r="AJ51" s="148"/>
      <c r="AK51" s="148"/>
      <c r="AL51" s="148"/>
      <c r="AM51" s="148"/>
      <c r="AN51" s="149"/>
      <c r="AO51" s="150"/>
      <c r="AP51" s="76"/>
      <c r="AQ51" s="76"/>
      <c r="AR51" s="128"/>
      <c r="AS51" s="108">
        <f t="shared" si="10"/>
        <v>1</v>
      </c>
      <c r="AT51" s="249">
        <f t="shared" si="11"/>
        <v>1</v>
      </c>
      <c r="AU51" s="249">
        <f t="shared" si="12"/>
        <v>0.28408</v>
      </c>
      <c r="AV51" s="249">
        <f t="shared" si="13"/>
        <v>0</v>
      </c>
    </row>
    <row r="52" spans="1:48" outlineLevel="1" x14ac:dyDescent="0.25">
      <c r="A52" s="4" t="s">
        <v>716</v>
      </c>
      <c r="B52" s="75" t="s">
        <v>732</v>
      </c>
      <c r="C52" s="25"/>
      <c r="D52" s="92">
        <v>2</v>
      </c>
      <c r="E52" s="110">
        <v>250</v>
      </c>
      <c r="F52" s="93">
        <f>D52*E52</f>
        <v>500</v>
      </c>
      <c r="G52" s="74">
        <f>H52-F52</f>
        <v>-500</v>
      </c>
      <c r="H52" s="95">
        <f t="shared" si="0"/>
        <v>0</v>
      </c>
      <c r="I52" s="112"/>
      <c r="J52" s="57"/>
      <c r="K52" s="57"/>
      <c r="L52" s="57"/>
      <c r="M52" s="57"/>
      <c r="N52" s="57"/>
      <c r="O52" s="57"/>
      <c r="P52" s="68"/>
      <c r="Q52" s="58"/>
      <c r="R52" s="93">
        <v>500</v>
      </c>
      <c r="S52" s="74">
        <f>T52-R52</f>
        <v>-500</v>
      </c>
      <c r="T52" s="95">
        <f t="shared" si="2"/>
        <v>0</v>
      </c>
      <c r="U52" s="112"/>
      <c r="V52" s="57"/>
      <c r="W52" s="57"/>
      <c r="X52" s="57"/>
      <c r="Y52" s="57"/>
      <c r="Z52" s="57"/>
      <c r="AA52" s="57"/>
      <c r="AB52" s="68"/>
      <c r="AC52" s="58"/>
      <c r="AD52" s="170">
        <v>1469.76</v>
      </c>
      <c r="AE52" s="89">
        <f t="shared" si="7"/>
        <v>-1469.76</v>
      </c>
      <c r="AF52" s="216">
        <f t="shared" si="8"/>
        <v>0</v>
      </c>
      <c r="AG52" s="147"/>
      <c r="AH52" s="148"/>
      <c r="AI52" s="148"/>
      <c r="AJ52" s="148"/>
      <c r="AK52" s="148"/>
      <c r="AL52" s="148"/>
      <c r="AM52" s="148"/>
      <c r="AN52" s="149"/>
      <c r="AO52" s="150"/>
      <c r="AP52" s="76"/>
      <c r="AQ52" s="76"/>
      <c r="AR52" s="128"/>
      <c r="AS52" s="108">
        <f t="shared" si="10"/>
        <v>1</v>
      </c>
      <c r="AT52" s="249"/>
      <c r="AU52" s="249">
        <f t="shared" si="12"/>
        <v>2.9395199999999999</v>
      </c>
      <c r="AV52" s="249"/>
    </row>
    <row r="53" spans="1:48" outlineLevel="1" x14ac:dyDescent="0.25">
      <c r="A53" s="4" t="s">
        <v>717</v>
      </c>
      <c r="B53" s="75" t="s">
        <v>733</v>
      </c>
      <c r="C53" s="25"/>
      <c r="D53" s="92">
        <v>1</v>
      </c>
      <c r="E53" s="110">
        <v>500</v>
      </c>
      <c r="F53" s="93">
        <f>D53*E53</f>
        <v>500</v>
      </c>
      <c r="G53" s="74">
        <f>H53-F53</f>
        <v>-500</v>
      </c>
      <c r="H53" s="95">
        <f t="shared" si="0"/>
        <v>0</v>
      </c>
      <c r="I53" s="112"/>
      <c r="J53" s="57"/>
      <c r="K53" s="57"/>
      <c r="L53" s="57"/>
      <c r="M53" s="57"/>
      <c r="N53" s="57"/>
      <c r="O53" s="57"/>
      <c r="P53" s="68"/>
      <c r="Q53" s="58"/>
      <c r="R53" s="93">
        <v>500</v>
      </c>
      <c r="S53" s="74">
        <f>T53-R53</f>
        <v>-500</v>
      </c>
      <c r="T53" s="95">
        <f t="shared" si="2"/>
        <v>0</v>
      </c>
      <c r="U53" s="112"/>
      <c r="V53" s="57"/>
      <c r="W53" s="57"/>
      <c r="X53" s="57"/>
      <c r="Y53" s="57"/>
      <c r="Z53" s="57"/>
      <c r="AA53" s="57"/>
      <c r="AB53" s="68"/>
      <c r="AC53" s="58"/>
      <c r="AD53" s="170">
        <f>P53*Q53</f>
        <v>0</v>
      </c>
      <c r="AE53" s="89">
        <f t="shared" si="7"/>
        <v>0</v>
      </c>
      <c r="AF53" s="216">
        <f t="shared" si="8"/>
        <v>0</v>
      </c>
      <c r="AG53" s="147"/>
      <c r="AH53" s="148"/>
      <c r="AI53" s="148"/>
      <c r="AJ53" s="148"/>
      <c r="AK53" s="148"/>
      <c r="AL53" s="148"/>
      <c r="AM53" s="148"/>
      <c r="AN53" s="149"/>
      <c r="AO53" s="150"/>
      <c r="AP53" s="76"/>
      <c r="AQ53" s="76"/>
      <c r="AR53" s="128"/>
      <c r="AS53" s="108">
        <f t="shared" si="10"/>
        <v>1</v>
      </c>
      <c r="AT53" s="249"/>
      <c r="AU53" s="249">
        <f t="shared" si="12"/>
        <v>0</v>
      </c>
      <c r="AV53" s="249"/>
    </row>
    <row r="54" spans="1:48" outlineLevel="1" x14ac:dyDescent="0.25">
      <c r="A54" s="4" t="s">
        <v>718</v>
      </c>
      <c r="B54" s="75" t="s">
        <v>734</v>
      </c>
      <c r="C54" s="25"/>
      <c r="D54" s="92">
        <v>1</v>
      </c>
      <c r="E54" s="110">
        <v>500</v>
      </c>
      <c r="F54" s="93">
        <f>D54*E54</f>
        <v>500</v>
      </c>
      <c r="G54" s="74">
        <f>H54-F54</f>
        <v>-500</v>
      </c>
      <c r="H54" s="95">
        <f t="shared" si="0"/>
        <v>0</v>
      </c>
      <c r="I54" s="112"/>
      <c r="J54" s="57"/>
      <c r="K54" s="57"/>
      <c r="L54" s="57"/>
      <c r="M54" s="57"/>
      <c r="N54" s="57"/>
      <c r="O54" s="57"/>
      <c r="P54" s="68"/>
      <c r="Q54" s="58"/>
      <c r="R54" s="93">
        <v>500</v>
      </c>
      <c r="S54" s="74">
        <f>T54-R54</f>
        <v>-500</v>
      </c>
      <c r="T54" s="95">
        <f t="shared" si="2"/>
        <v>0</v>
      </c>
      <c r="U54" s="112"/>
      <c r="V54" s="57"/>
      <c r="W54" s="57"/>
      <c r="X54" s="57"/>
      <c r="Y54" s="57"/>
      <c r="Z54" s="57"/>
      <c r="AA54" s="57"/>
      <c r="AB54" s="68"/>
      <c r="AC54" s="58"/>
      <c r="AD54" s="170">
        <f>P54*Q54</f>
        <v>0</v>
      </c>
      <c r="AE54" s="89">
        <f t="shared" si="7"/>
        <v>0</v>
      </c>
      <c r="AF54" s="216">
        <f t="shared" si="8"/>
        <v>0</v>
      </c>
      <c r="AG54" s="147"/>
      <c r="AH54" s="148"/>
      <c r="AI54" s="148"/>
      <c r="AJ54" s="148"/>
      <c r="AK54" s="148"/>
      <c r="AL54" s="148"/>
      <c r="AM54" s="148"/>
      <c r="AN54" s="149"/>
      <c r="AO54" s="150"/>
      <c r="AP54" s="76"/>
      <c r="AQ54" s="76"/>
      <c r="AR54" s="128"/>
      <c r="AS54" s="108">
        <f t="shared" si="10"/>
        <v>1</v>
      </c>
      <c r="AT54" s="249"/>
      <c r="AU54" s="249">
        <f t="shared" si="12"/>
        <v>0</v>
      </c>
      <c r="AV54" s="249"/>
    </row>
    <row r="55" spans="1:48" outlineLevel="1" x14ac:dyDescent="0.25">
      <c r="A55" s="4" t="s">
        <v>1032</v>
      </c>
      <c r="B55" s="75" t="s">
        <v>47</v>
      </c>
      <c r="C55" s="25"/>
      <c r="D55" s="92"/>
      <c r="E55" s="110"/>
      <c r="F55" s="93">
        <f>D55*E55</f>
        <v>0</v>
      </c>
      <c r="G55" s="74">
        <f>H55-F55</f>
        <v>0</v>
      </c>
      <c r="H55" s="95">
        <f t="shared" si="0"/>
        <v>0</v>
      </c>
      <c r="I55" s="112"/>
      <c r="J55" s="57"/>
      <c r="K55" s="57"/>
      <c r="L55" s="57"/>
      <c r="M55" s="57"/>
      <c r="N55" s="57"/>
      <c r="O55" s="57"/>
      <c r="P55" s="68"/>
      <c r="Q55" s="58"/>
      <c r="R55" s="93">
        <f>P55*Q55</f>
        <v>0</v>
      </c>
      <c r="S55" s="74">
        <f>T55-R55</f>
        <v>0</v>
      </c>
      <c r="T55" s="95">
        <f t="shared" si="2"/>
        <v>0</v>
      </c>
      <c r="U55" s="112"/>
      <c r="V55" s="57"/>
      <c r="W55" s="57"/>
      <c r="X55" s="57"/>
      <c r="Y55" s="57"/>
      <c r="Z55" s="57"/>
      <c r="AA55" s="57"/>
      <c r="AB55" s="68"/>
      <c r="AC55" s="58"/>
      <c r="AD55" s="170">
        <f>P55*Q55</f>
        <v>0</v>
      </c>
      <c r="AE55" s="89">
        <f t="shared" si="7"/>
        <v>0</v>
      </c>
      <c r="AF55" s="216">
        <f t="shared" si="8"/>
        <v>0</v>
      </c>
      <c r="AG55" s="147"/>
      <c r="AH55" s="148"/>
      <c r="AI55" s="148"/>
      <c r="AJ55" s="148"/>
      <c r="AK55" s="148"/>
      <c r="AL55" s="148"/>
      <c r="AM55" s="148"/>
      <c r="AN55" s="149"/>
      <c r="AO55" s="150"/>
      <c r="AP55" s="76"/>
      <c r="AQ55" s="76"/>
      <c r="AR55" s="128"/>
      <c r="AS55" s="108"/>
      <c r="AT55" s="249"/>
      <c r="AU55" s="249"/>
      <c r="AV55" s="249"/>
    </row>
    <row r="56" spans="1:48" s="280" customFormat="1" ht="15.75" x14ac:dyDescent="0.25">
      <c r="A56" s="270" t="s">
        <v>720</v>
      </c>
      <c r="B56" s="271" t="s">
        <v>735</v>
      </c>
      <c r="C56" s="272"/>
      <c r="D56" s="273"/>
      <c r="E56" s="274"/>
      <c r="F56" s="264">
        <f>SUM(F57:F60)</f>
        <v>3750</v>
      </c>
      <c r="G56" s="265">
        <f>SUM(G57:G60)</f>
        <v>0</v>
      </c>
      <c r="H56" s="275">
        <f t="shared" si="0"/>
        <v>3950</v>
      </c>
      <c r="I56" s="267">
        <f t="shared" ref="I56:Q56" si="50">SUM(I57:I60)</f>
        <v>3950</v>
      </c>
      <c r="J56" s="268">
        <f t="shared" si="50"/>
        <v>0</v>
      </c>
      <c r="K56" s="268">
        <f t="shared" si="50"/>
        <v>0</v>
      </c>
      <c r="L56" s="268">
        <f t="shared" si="50"/>
        <v>0</v>
      </c>
      <c r="M56" s="268">
        <f t="shared" si="50"/>
        <v>0</v>
      </c>
      <c r="N56" s="268">
        <f t="shared" si="50"/>
        <v>0</v>
      </c>
      <c r="O56" s="268">
        <f t="shared" si="50"/>
        <v>0</v>
      </c>
      <c r="P56" s="268">
        <f t="shared" si="50"/>
        <v>0</v>
      </c>
      <c r="Q56" s="269">
        <f t="shared" si="50"/>
        <v>0</v>
      </c>
      <c r="R56" s="264">
        <f>SUM(R57:R60)</f>
        <v>3750</v>
      </c>
      <c r="S56" s="265">
        <f>SUM(S57:S60)</f>
        <v>0</v>
      </c>
      <c r="T56" s="275">
        <f t="shared" si="2"/>
        <v>3950</v>
      </c>
      <c r="U56" s="267">
        <f t="shared" ref="U56:AC56" si="51">SUM(U57:U60)</f>
        <v>3950</v>
      </c>
      <c r="V56" s="268">
        <f t="shared" si="51"/>
        <v>0</v>
      </c>
      <c r="W56" s="268">
        <f t="shared" si="51"/>
        <v>0</v>
      </c>
      <c r="X56" s="268">
        <f t="shared" si="51"/>
        <v>0</v>
      </c>
      <c r="Y56" s="268">
        <f t="shared" si="51"/>
        <v>0</v>
      </c>
      <c r="Z56" s="268">
        <f t="shared" si="51"/>
        <v>0</v>
      </c>
      <c r="AA56" s="268">
        <f t="shared" si="51"/>
        <v>0</v>
      </c>
      <c r="AB56" s="268">
        <f t="shared" si="51"/>
        <v>0</v>
      </c>
      <c r="AC56" s="269">
        <f t="shared" si="51"/>
        <v>0</v>
      </c>
      <c r="AD56" s="264">
        <f>SUM(AD57:AD60)</f>
        <v>3165.44</v>
      </c>
      <c r="AE56" s="265">
        <f t="shared" si="7"/>
        <v>-3165.44</v>
      </c>
      <c r="AF56" s="266">
        <f t="shared" si="8"/>
        <v>0</v>
      </c>
      <c r="AG56" s="267">
        <f t="shared" ref="AG56:AO56" si="52">SUM(AG57:AG60)</f>
        <v>0</v>
      </c>
      <c r="AH56" s="268">
        <f t="shared" si="52"/>
        <v>0</v>
      </c>
      <c r="AI56" s="268">
        <f t="shared" si="52"/>
        <v>0</v>
      </c>
      <c r="AJ56" s="268">
        <f t="shared" si="52"/>
        <v>0</v>
      </c>
      <c r="AK56" s="268">
        <f t="shared" si="52"/>
        <v>0</v>
      </c>
      <c r="AL56" s="268">
        <f t="shared" si="52"/>
        <v>0</v>
      </c>
      <c r="AM56" s="268">
        <f t="shared" si="52"/>
        <v>0</v>
      </c>
      <c r="AN56" s="268">
        <f t="shared" si="52"/>
        <v>0</v>
      </c>
      <c r="AO56" s="269">
        <f t="shared" si="52"/>
        <v>0</v>
      </c>
      <c r="AP56" s="276">
        <v>3950</v>
      </c>
      <c r="AQ56" s="276">
        <v>3888.85</v>
      </c>
      <c r="AR56" s="277">
        <f>AQ56*100/AP56</f>
        <v>98.45189873417722</v>
      </c>
      <c r="AS56" s="278">
        <f t="shared" si="10"/>
        <v>1</v>
      </c>
      <c r="AT56" s="279">
        <f t="shared" si="11"/>
        <v>1</v>
      </c>
      <c r="AU56" s="279">
        <f t="shared" si="12"/>
        <v>0.84411733333333339</v>
      </c>
      <c r="AV56" s="279">
        <f t="shared" si="13"/>
        <v>0</v>
      </c>
    </row>
    <row r="57" spans="1:48" outlineLevel="1" x14ac:dyDescent="0.25">
      <c r="A57" s="5" t="s">
        <v>722</v>
      </c>
      <c r="B57" s="75" t="s">
        <v>736</v>
      </c>
      <c r="C57" s="25"/>
      <c r="D57" s="92">
        <v>1</v>
      </c>
      <c r="E57" s="110">
        <v>950</v>
      </c>
      <c r="F57" s="93">
        <f>D57*E57</f>
        <v>950</v>
      </c>
      <c r="G57" s="74">
        <f>H57-F57</f>
        <v>0</v>
      </c>
      <c r="H57" s="95">
        <f t="shared" si="0"/>
        <v>950</v>
      </c>
      <c r="I57" s="112">
        <v>950</v>
      </c>
      <c r="J57" s="57"/>
      <c r="K57" s="57"/>
      <c r="L57" s="57"/>
      <c r="M57" s="57"/>
      <c r="N57" s="57"/>
      <c r="O57" s="57"/>
      <c r="P57" s="68"/>
      <c r="Q57" s="58"/>
      <c r="R57" s="93">
        <v>950</v>
      </c>
      <c r="S57" s="74">
        <f>T57-R57</f>
        <v>0</v>
      </c>
      <c r="T57" s="95">
        <f t="shared" si="2"/>
        <v>950</v>
      </c>
      <c r="U57" s="112">
        <v>950</v>
      </c>
      <c r="V57" s="57"/>
      <c r="W57" s="57"/>
      <c r="X57" s="57"/>
      <c r="Y57" s="57"/>
      <c r="Z57" s="57"/>
      <c r="AA57" s="57"/>
      <c r="AB57" s="68"/>
      <c r="AC57" s="58"/>
      <c r="AD57" s="170">
        <v>277.73</v>
      </c>
      <c r="AE57" s="89">
        <f t="shared" si="7"/>
        <v>-277.73</v>
      </c>
      <c r="AF57" s="216">
        <f t="shared" si="8"/>
        <v>0</v>
      </c>
      <c r="AG57" s="147"/>
      <c r="AH57" s="148"/>
      <c r="AI57" s="148"/>
      <c r="AJ57" s="148"/>
      <c r="AK57" s="148"/>
      <c r="AL57" s="148"/>
      <c r="AM57" s="148"/>
      <c r="AN57" s="149"/>
      <c r="AO57" s="150"/>
      <c r="AP57" s="76"/>
      <c r="AQ57" s="76"/>
      <c r="AR57" s="128"/>
      <c r="AS57" s="108">
        <f t="shared" si="10"/>
        <v>1</v>
      </c>
      <c r="AT57" s="249">
        <f t="shared" si="11"/>
        <v>1</v>
      </c>
      <c r="AU57" s="249">
        <f t="shared" si="12"/>
        <v>0.29234736842105263</v>
      </c>
      <c r="AV57" s="249">
        <f t="shared" si="13"/>
        <v>0</v>
      </c>
    </row>
    <row r="58" spans="1:48" outlineLevel="1" x14ac:dyDescent="0.25">
      <c r="A58" s="4" t="s">
        <v>723</v>
      </c>
      <c r="B58" s="75" t="s">
        <v>737</v>
      </c>
      <c r="C58" s="25"/>
      <c r="D58" s="92">
        <v>1</v>
      </c>
      <c r="E58" s="110">
        <v>2500</v>
      </c>
      <c r="F58" s="93">
        <f>D58*E58</f>
        <v>2500</v>
      </c>
      <c r="G58" s="74">
        <f>H58-F58</f>
        <v>0</v>
      </c>
      <c r="H58" s="95">
        <v>2500</v>
      </c>
      <c r="I58" s="112">
        <v>2700</v>
      </c>
      <c r="J58" s="57"/>
      <c r="K58" s="57"/>
      <c r="L58" s="57"/>
      <c r="M58" s="57"/>
      <c r="N58" s="57"/>
      <c r="O58" s="57"/>
      <c r="P58" s="68"/>
      <c r="Q58" s="58"/>
      <c r="R58" s="93">
        <v>2500</v>
      </c>
      <c r="S58" s="74">
        <f>T58-R58</f>
        <v>0</v>
      </c>
      <c r="T58" s="95">
        <v>2500</v>
      </c>
      <c r="U58" s="112">
        <v>2700</v>
      </c>
      <c r="V58" s="57"/>
      <c r="W58" s="57"/>
      <c r="X58" s="57"/>
      <c r="Y58" s="57"/>
      <c r="Z58" s="57"/>
      <c r="AA58" s="57"/>
      <c r="AB58" s="68"/>
      <c r="AC58" s="58"/>
      <c r="AD58" s="170">
        <v>2397.27</v>
      </c>
      <c r="AE58" s="89">
        <f t="shared" si="7"/>
        <v>-2397.27</v>
      </c>
      <c r="AF58" s="216">
        <f t="shared" si="8"/>
        <v>0</v>
      </c>
      <c r="AG58" s="147"/>
      <c r="AH58" s="148"/>
      <c r="AI58" s="148"/>
      <c r="AJ58" s="148"/>
      <c r="AK58" s="148"/>
      <c r="AL58" s="148"/>
      <c r="AM58" s="148"/>
      <c r="AN58" s="149"/>
      <c r="AO58" s="150"/>
      <c r="AP58" s="76"/>
      <c r="AQ58" s="76"/>
      <c r="AR58" s="128"/>
      <c r="AS58" s="108">
        <f t="shared" si="10"/>
        <v>1</v>
      </c>
      <c r="AT58" s="249">
        <f t="shared" si="11"/>
        <v>1</v>
      </c>
      <c r="AU58" s="249">
        <f t="shared" si="12"/>
        <v>0.95890799999999998</v>
      </c>
      <c r="AV58" s="249">
        <f t="shared" si="13"/>
        <v>0</v>
      </c>
    </row>
    <row r="59" spans="1:48" outlineLevel="1" x14ac:dyDescent="0.25">
      <c r="A59" s="4" t="s">
        <v>724</v>
      </c>
      <c r="B59" s="75" t="s">
        <v>738</v>
      </c>
      <c r="C59" s="25"/>
      <c r="D59" s="92">
        <v>1</v>
      </c>
      <c r="E59" s="110">
        <v>300</v>
      </c>
      <c r="F59" s="93">
        <f>D59*E59</f>
        <v>300</v>
      </c>
      <c r="G59" s="74">
        <f>H59-F59</f>
        <v>0</v>
      </c>
      <c r="H59" s="95">
        <f t="shared" ref="H59:H124" si="53">SUM(I59:Q59)</f>
        <v>300</v>
      </c>
      <c r="I59" s="112">
        <v>300</v>
      </c>
      <c r="J59" s="57"/>
      <c r="K59" s="57"/>
      <c r="L59" s="57"/>
      <c r="M59" s="57"/>
      <c r="N59" s="57"/>
      <c r="O59" s="57"/>
      <c r="P59" s="68"/>
      <c r="Q59" s="58"/>
      <c r="R59" s="93">
        <v>300</v>
      </c>
      <c r="S59" s="74">
        <f>T59-R59</f>
        <v>0</v>
      </c>
      <c r="T59" s="95">
        <f t="shared" ref="T59:T85" si="54">SUM(U59:AC59)</f>
        <v>300</v>
      </c>
      <c r="U59" s="112">
        <v>300</v>
      </c>
      <c r="V59" s="57"/>
      <c r="W59" s="57"/>
      <c r="X59" s="57"/>
      <c r="Y59" s="57"/>
      <c r="Z59" s="57"/>
      <c r="AA59" s="57"/>
      <c r="AB59" s="68"/>
      <c r="AC59" s="58"/>
      <c r="AD59" s="170">
        <v>456.07</v>
      </c>
      <c r="AE59" s="89">
        <f t="shared" si="7"/>
        <v>-456.07</v>
      </c>
      <c r="AF59" s="216">
        <f t="shared" si="8"/>
        <v>0</v>
      </c>
      <c r="AG59" s="147"/>
      <c r="AH59" s="148"/>
      <c r="AI59" s="148"/>
      <c r="AJ59" s="148"/>
      <c r="AK59" s="148"/>
      <c r="AL59" s="148"/>
      <c r="AM59" s="148"/>
      <c r="AN59" s="149"/>
      <c r="AO59" s="150"/>
      <c r="AP59" s="76"/>
      <c r="AQ59" s="76"/>
      <c r="AR59" s="128"/>
      <c r="AS59" s="108">
        <f t="shared" si="10"/>
        <v>1</v>
      </c>
      <c r="AT59" s="249">
        <f t="shared" si="11"/>
        <v>1</v>
      </c>
      <c r="AU59" s="249">
        <f t="shared" si="12"/>
        <v>1.5202333333333333</v>
      </c>
      <c r="AV59" s="249">
        <f t="shared" si="13"/>
        <v>0</v>
      </c>
    </row>
    <row r="60" spans="1:48" outlineLevel="1" x14ac:dyDescent="0.25">
      <c r="A60" s="4" t="s">
        <v>1033</v>
      </c>
      <c r="B60" s="75" t="s">
        <v>47</v>
      </c>
      <c r="C60" s="25"/>
      <c r="D60" s="92"/>
      <c r="E60" s="110"/>
      <c r="F60" s="93">
        <f>D60*E60</f>
        <v>0</v>
      </c>
      <c r="G60" s="74">
        <f>H60-F60</f>
        <v>0</v>
      </c>
      <c r="H60" s="95">
        <f t="shared" si="53"/>
        <v>0</v>
      </c>
      <c r="I60" s="112"/>
      <c r="J60" s="57"/>
      <c r="K60" s="57"/>
      <c r="L60" s="57"/>
      <c r="M60" s="57"/>
      <c r="N60" s="57"/>
      <c r="O60" s="57"/>
      <c r="P60" s="68"/>
      <c r="Q60" s="58"/>
      <c r="R60" s="93">
        <f>P60*Q60</f>
        <v>0</v>
      </c>
      <c r="S60" s="74">
        <f>T60-R60</f>
        <v>0</v>
      </c>
      <c r="T60" s="95">
        <f t="shared" si="54"/>
        <v>0</v>
      </c>
      <c r="U60" s="112"/>
      <c r="V60" s="57"/>
      <c r="W60" s="57"/>
      <c r="X60" s="57"/>
      <c r="Y60" s="57"/>
      <c r="Z60" s="57"/>
      <c r="AA60" s="57"/>
      <c r="AB60" s="68"/>
      <c r="AC60" s="58"/>
      <c r="AD60" s="170">
        <v>34.369999999999997</v>
      </c>
      <c r="AE60" s="89">
        <f t="shared" si="7"/>
        <v>-34.369999999999997</v>
      </c>
      <c r="AF60" s="216">
        <f t="shared" si="8"/>
        <v>0</v>
      </c>
      <c r="AG60" s="147"/>
      <c r="AH60" s="148"/>
      <c r="AI60" s="148"/>
      <c r="AJ60" s="148"/>
      <c r="AK60" s="148"/>
      <c r="AL60" s="148"/>
      <c r="AM60" s="148"/>
      <c r="AN60" s="149"/>
      <c r="AO60" s="150"/>
      <c r="AP60" s="76"/>
      <c r="AQ60" s="76"/>
      <c r="AR60" s="128"/>
      <c r="AS60" s="108"/>
      <c r="AT60" s="249"/>
      <c r="AU60" s="249"/>
      <c r="AV60" s="249"/>
    </row>
    <row r="61" spans="1:48" s="280" customFormat="1" ht="15.75" x14ac:dyDescent="0.25">
      <c r="A61" s="270" t="s">
        <v>721</v>
      </c>
      <c r="B61" s="271" t="s">
        <v>155</v>
      </c>
      <c r="C61" s="272"/>
      <c r="D61" s="273"/>
      <c r="E61" s="274"/>
      <c r="F61" s="264">
        <f>SUM(F62:F64)</f>
        <v>28000</v>
      </c>
      <c r="G61" s="265">
        <f>SUM(G62:G64)</f>
        <v>0</v>
      </c>
      <c r="H61" s="275">
        <f t="shared" si="53"/>
        <v>28000</v>
      </c>
      <c r="I61" s="267">
        <f t="shared" ref="I61:Q61" si="55">SUM(I62:I64)</f>
        <v>28000</v>
      </c>
      <c r="J61" s="268">
        <f t="shared" si="55"/>
        <v>0</v>
      </c>
      <c r="K61" s="268">
        <f t="shared" si="55"/>
        <v>0</v>
      </c>
      <c r="L61" s="268">
        <f t="shared" si="55"/>
        <v>0</v>
      </c>
      <c r="M61" s="268">
        <f t="shared" si="55"/>
        <v>0</v>
      </c>
      <c r="N61" s="268">
        <f t="shared" si="55"/>
        <v>0</v>
      </c>
      <c r="O61" s="268">
        <f t="shared" si="55"/>
        <v>0</v>
      </c>
      <c r="P61" s="268">
        <f t="shared" si="55"/>
        <v>0</v>
      </c>
      <c r="Q61" s="269">
        <f t="shared" si="55"/>
        <v>0</v>
      </c>
      <c r="R61" s="264">
        <f>SUM(R62:R64)</f>
        <v>28000</v>
      </c>
      <c r="S61" s="265">
        <f>SUM(S62:S64)</f>
        <v>0</v>
      </c>
      <c r="T61" s="275">
        <f t="shared" si="54"/>
        <v>28000</v>
      </c>
      <c r="U61" s="267">
        <f t="shared" ref="U61:AC61" si="56">SUM(U62:U64)</f>
        <v>28000</v>
      </c>
      <c r="V61" s="268">
        <f t="shared" si="56"/>
        <v>0</v>
      </c>
      <c r="W61" s="268">
        <f t="shared" si="56"/>
        <v>0</v>
      </c>
      <c r="X61" s="268">
        <f t="shared" si="56"/>
        <v>0</v>
      </c>
      <c r="Y61" s="268">
        <f t="shared" si="56"/>
        <v>0</v>
      </c>
      <c r="Z61" s="268">
        <f t="shared" si="56"/>
        <v>0</v>
      </c>
      <c r="AA61" s="268">
        <f t="shared" si="56"/>
        <v>0</v>
      </c>
      <c r="AB61" s="268">
        <f t="shared" si="56"/>
        <v>0</v>
      </c>
      <c r="AC61" s="269">
        <f t="shared" si="56"/>
        <v>0</v>
      </c>
      <c r="AD61" s="264">
        <f>SUM(AD62:AD64)</f>
        <v>0</v>
      </c>
      <c r="AE61" s="265">
        <f t="shared" si="7"/>
        <v>0</v>
      </c>
      <c r="AF61" s="266">
        <f t="shared" si="8"/>
        <v>0</v>
      </c>
      <c r="AG61" s="267">
        <f t="shared" ref="AG61:AO61" si="57">SUM(AG62:AG64)</f>
        <v>0</v>
      </c>
      <c r="AH61" s="268">
        <f t="shared" si="57"/>
        <v>0</v>
      </c>
      <c r="AI61" s="268">
        <f t="shared" si="57"/>
        <v>0</v>
      </c>
      <c r="AJ61" s="268">
        <f t="shared" si="57"/>
        <v>0</v>
      </c>
      <c r="AK61" s="268">
        <f t="shared" si="57"/>
        <v>0</v>
      </c>
      <c r="AL61" s="268">
        <f t="shared" si="57"/>
        <v>0</v>
      </c>
      <c r="AM61" s="268">
        <f t="shared" si="57"/>
        <v>0</v>
      </c>
      <c r="AN61" s="268">
        <f t="shared" si="57"/>
        <v>0</v>
      </c>
      <c r="AO61" s="269">
        <f t="shared" si="57"/>
        <v>0</v>
      </c>
      <c r="AP61" s="283"/>
      <c r="AQ61" s="284"/>
      <c r="AR61" s="285"/>
      <c r="AS61" s="278">
        <f t="shared" si="10"/>
        <v>1</v>
      </c>
      <c r="AT61" s="279">
        <f t="shared" si="11"/>
        <v>1</v>
      </c>
      <c r="AU61" s="279">
        <f t="shared" si="12"/>
        <v>0</v>
      </c>
      <c r="AV61" s="279">
        <f t="shared" si="13"/>
        <v>0</v>
      </c>
    </row>
    <row r="62" spans="1:48" outlineLevel="1" x14ac:dyDescent="0.25">
      <c r="A62" s="5" t="s">
        <v>725</v>
      </c>
      <c r="B62" s="75" t="s">
        <v>156</v>
      </c>
      <c r="C62" s="25"/>
      <c r="D62" s="92">
        <v>1</v>
      </c>
      <c r="E62" s="110">
        <f>E32</f>
        <v>26000</v>
      </c>
      <c r="F62" s="93">
        <f>D62*E62</f>
        <v>26000</v>
      </c>
      <c r="G62" s="74">
        <f>H62-F62</f>
        <v>0</v>
      </c>
      <c r="H62" s="95">
        <f t="shared" si="53"/>
        <v>26000</v>
      </c>
      <c r="I62" s="112">
        <f>F62</f>
        <v>26000</v>
      </c>
      <c r="J62" s="57"/>
      <c r="K62" s="57"/>
      <c r="L62" s="57"/>
      <c r="M62" s="57"/>
      <c r="N62" s="57"/>
      <c r="O62" s="57"/>
      <c r="P62" s="68"/>
      <c r="Q62" s="58"/>
      <c r="R62" s="93">
        <v>26000</v>
      </c>
      <c r="S62" s="74">
        <f>T62-R62</f>
        <v>0</v>
      </c>
      <c r="T62" s="95">
        <f t="shared" si="54"/>
        <v>26000</v>
      </c>
      <c r="U62" s="112">
        <f>R62</f>
        <v>26000</v>
      </c>
      <c r="V62" s="57"/>
      <c r="W62" s="57"/>
      <c r="X62" s="57"/>
      <c r="Y62" s="57"/>
      <c r="Z62" s="57"/>
      <c r="AA62" s="57"/>
      <c r="AB62" s="68"/>
      <c r="AC62" s="58"/>
      <c r="AD62" s="170">
        <f>P62*Q62</f>
        <v>0</v>
      </c>
      <c r="AE62" s="89">
        <f t="shared" si="7"/>
        <v>0</v>
      </c>
      <c r="AF62" s="216">
        <f t="shared" si="8"/>
        <v>0</v>
      </c>
      <c r="AG62" s="147">
        <f>Q62</f>
        <v>0</v>
      </c>
      <c r="AH62" s="148"/>
      <c r="AI62" s="148"/>
      <c r="AJ62" s="148"/>
      <c r="AK62" s="148"/>
      <c r="AL62" s="148"/>
      <c r="AM62" s="148"/>
      <c r="AN62" s="149"/>
      <c r="AO62" s="150"/>
      <c r="AP62" s="76"/>
      <c r="AQ62" s="76"/>
      <c r="AR62" s="128"/>
      <c r="AS62" s="108">
        <f t="shared" si="10"/>
        <v>1</v>
      </c>
      <c r="AT62" s="249">
        <f t="shared" si="11"/>
        <v>1</v>
      </c>
      <c r="AU62" s="249">
        <f t="shared" si="12"/>
        <v>0</v>
      </c>
      <c r="AV62" s="249">
        <f t="shared" si="13"/>
        <v>0</v>
      </c>
    </row>
    <row r="63" spans="1:48" outlineLevel="1" x14ac:dyDescent="0.25">
      <c r="A63" s="4" t="s">
        <v>726</v>
      </c>
      <c r="B63" s="75" t="s">
        <v>157</v>
      </c>
      <c r="C63" s="25"/>
      <c r="D63" s="92">
        <v>1</v>
      </c>
      <c r="E63" s="110">
        <v>2000</v>
      </c>
      <c r="F63" s="93">
        <f>D63*E63</f>
        <v>2000</v>
      </c>
      <c r="G63" s="74">
        <f>H63-F63</f>
        <v>0</v>
      </c>
      <c r="H63" s="95">
        <f t="shared" si="53"/>
        <v>2000</v>
      </c>
      <c r="I63" s="112">
        <f>F63</f>
        <v>2000</v>
      </c>
      <c r="J63" s="57"/>
      <c r="K63" s="57"/>
      <c r="L63" s="57"/>
      <c r="M63" s="57"/>
      <c r="N63" s="57"/>
      <c r="O63" s="57"/>
      <c r="P63" s="68"/>
      <c r="Q63" s="58"/>
      <c r="R63" s="93">
        <v>2000</v>
      </c>
      <c r="S63" s="74">
        <f>T63-R63</f>
        <v>0</v>
      </c>
      <c r="T63" s="95">
        <f t="shared" si="54"/>
        <v>2000</v>
      </c>
      <c r="U63" s="112">
        <f>R63</f>
        <v>2000</v>
      </c>
      <c r="V63" s="57"/>
      <c r="W63" s="57"/>
      <c r="X63" s="57"/>
      <c r="Y63" s="57"/>
      <c r="Z63" s="57"/>
      <c r="AA63" s="57"/>
      <c r="AB63" s="68"/>
      <c r="AC63" s="58"/>
      <c r="AD63" s="170">
        <f>P63*Q63</f>
        <v>0</v>
      </c>
      <c r="AE63" s="89">
        <f t="shared" si="7"/>
        <v>0</v>
      </c>
      <c r="AF63" s="216">
        <f t="shared" si="8"/>
        <v>0</v>
      </c>
      <c r="AG63" s="147">
        <f>Q63</f>
        <v>0</v>
      </c>
      <c r="AH63" s="148"/>
      <c r="AI63" s="148"/>
      <c r="AJ63" s="148"/>
      <c r="AK63" s="148"/>
      <c r="AL63" s="148"/>
      <c r="AM63" s="148"/>
      <c r="AN63" s="149"/>
      <c r="AO63" s="150"/>
      <c r="AP63" s="76"/>
      <c r="AQ63" s="76"/>
      <c r="AR63" s="128"/>
      <c r="AS63" s="108">
        <f t="shared" si="10"/>
        <v>1</v>
      </c>
      <c r="AT63" s="249">
        <f t="shared" si="11"/>
        <v>1</v>
      </c>
      <c r="AU63" s="249">
        <f t="shared" si="12"/>
        <v>0</v>
      </c>
      <c r="AV63" s="249">
        <f t="shared" si="13"/>
        <v>0</v>
      </c>
    </row>
    <row r="64" spans="1:48" outlineLevel="1" x14ac:dyDescent="0.25">
      <c r="A64" s="4" t="s">
        <v>1034</v>
      </c>
      <c r="B64" s="75" t="s">
        <v>47</v>
      </c>
      <c r="C64" s="25"/>
      <c r="D64" s="92"/>
      <c r="E64" s="110"/>
      <c r="F64" s="93">
        <f>D64*E64</f>
        <v>0</v>
      </c>
      <c r="G64" s="74">
        <f>H64-F64</f>
        <v>0</v>
      </c>
      <c r="H64" s="95">
        <f t="shared" si="53"/>
        <v>0</v>
      </c>
      <c r="I64" s="112"/>
      <c r="J64" s="57"/>
      <c r="K64" s="57"/>
      <c r="L64" s="57"/>
      <c r="M64" s="57"/>
      <c r="N64" s="57"/>
      <c r="O64" s="57"/>
      <c r="P64" s="68"/>
      <c r="Q64" s="58"/>
      <c r="R64" s="93">
        <f>P64*Q64</f>
        <v>0</v>
      </c>
      <c r="S64" s="74">
        <f>T64-R64</f>
        <v>0</v>
      </c>
      <c r="T64" s="95">
        <f t="shared" si="54"/>
        <v>0</v>
      </c>
      <c r="U64" s="112"/>
      <c r="V64" s="57"/>
      <c r="W64" s="57"/>
      <c r="X64" s="57"/>
      <c r="Y64" s="57"/>
      <c r="Z64" s="57"/>
      <c r="AA64" s="57"/>
      <c r="AB64" s="68"/>
      <c r="AC64" s="58"/>
      <c r="AD64" s="170">
        <f>P64*Q64</f>
        <v>0</v>
      </c>
      <c r="AE64" s="89">
        <f t="shared" si="7"/>
        <v>0</v>
      </c>
      <c r="AF64" s="216">
        <f t="shared" si="8"/>
        <v>0</v>
      </c>
      <c r="AG64" s="147"/>
      <c r="AH64" s="148"/>
      <c r="AI64" s="148"/>
      <c r="AJ64" s="148"/>
      <c r="AK64" s="148"/>
      <c r="AL64" s="148"/>
      <c r="AM64" s="148"/>
      <c r="AN64" s="149"/>
      <c r="AO64" s="150"/>
      <c r="AP64" s="76"/>
      <c r="AQ64" s="76"/>
      <c r="AR64" s="128"/>
      <c r="AS64" s="108"/>
      <c r="AT64" s="249"/>
      <c r="AU64" s="249"/>
      <c r="AV64" s="249"/>
    </row>
    <row r="65" spans="1:48" s="280" customFormat="1" ht="15.75" x14ac:dyDescent="0.25">
      <c r="A65" s="270" t="s">
        <v>741</v>
      </c>
      <c r="B65" s="271" t="s">
        <v>713</v>
      </c>
      <c r="C65" s="272"/>
      <c r="D65" s="273"/>
      <c r="E65" s="274"/>
      <c r="F65" s="264">
        <f>SUM(F66:F70)</f>
        <v>13880</v>
      </c>
      <c r="G65" s="265">
        <f>SUM(G66:G70)</f>
        <v>0</v>
      </c>
      <c r="H65" s="275">
        <f t="shared" si="53"/>
        <v>13880</v>
      </c>
      <c r="I65" s="267">
        <f t="shared" ref="I65:Q65" si="58">SUM(I66:I70)</f>
        <v>0</v>
      </c>
      <c r="J65" s="268">
        <f t="shared" si="58"/>
        <v>5380</v>
      </c>
      <c r="K65" s="268">
        <f t="shared" si="58"/>
        <v>0</v>
      </c>
      <c r="L65" s="268">
        <f t="shared" si="58"/>
        <v>0</v>
      </c>
      <c r="M65" s="268">
        <f t="shared" si="58"/>
        <v>0</v>
      </c>
      <c r="N65" s="268">
        <f t="shared" si="58"/>
        <v>0</v>
      </c>
      <c r="O65" s="268">
        <f t="shared" si="58"/>
        <v>0</v>
      </c>
      <c r="P65" s="268">
        <f t="shared" si="58"/>
        <v>8500</v>
      </c>
      <c r="Q65" s="269">
        <f t="shared" si="58"/>
        <v>0</v>
      </c>
      <c r="R65" s="264">
        <f>SUM(R66:R70)</f>
        <v>13880</v>
      </c>
      <c r="S65" s="265">
        <f>SUM(S66:S70)</f>
        <v>0</v>
      </c>
      <c r="T65" s="275">
        <f t="shared" si="54"/>
        <v>13880</v>
      </c>
      <c r="U65" s="267">
        <f t="shared" ref="U65:AC65" si="59">SUM(U66:U70)</f>
        <v>0</v>
      </c>
      <c r="V65" s="268">
        <f t="shared" si="59"/>
        <v>5380</v>
      </c>
      <c r="W65" s="268">
        <f t="shared" si="59"/>
        <v>0</v>
      </c>
      <c r="X65" s="268">
        <f t="shared" si="59"/>
        <v>0</v>
      </c>
      <c r="Y65" s="268">
        <f t="shared" si="59"/>
        <v>0</v>
      </c>
      <c r="Z65" s="268">
        <f t="shared" si="59"/>
        <v>0</v>
      </c>
      <c r="AA65" s="268">
        <f t="shared" si="59"/>
        <v>0</v>
      </c>
      <c r="AB65" s="268">
        <f t="shared" si="59"/>
        <v>8500</v>
      </c>
      <c r="AC65" s="269">
        <f t="shared" si="59"/>
        <v>0</v>
      </c>
      <c r="AD65" s="264">
        <f>SUM(AD66:AD70)</f>
        <v>4666.6099999999997</v>
      </c>
      <c r="AE65" s="265">
        <f t="shared" si="7"/>
        <v>-4666.6099999999997</v>
      </c>
      <c r="AF65" s="266">
        <f t="shared" si="8"/>
        <v>0</v>
      </c>
      <c r="AG65" s="267">
        <f t="shared" ref="AG65:AO65" si="60">SUM(AG66:AG70)</f>
        <v>0</v>
      </c>
      <c r="AH65" s="268">
        <f t="shared" si="60"/>
        <v>0</v>
      </c>
      <c r="AI65" s="268">
        <f t="shared" si="60"/>
        <v>0</v>
      </c>
      <c r="AJ65" s="268">
        <f t="shared" si="60"/>
        <v>0</v>
      </c>
      <c r="AK65" s="268">
        <f t="shared" si="60"/>
        <v>0</v>
      </c>
      <c r="AL65" s="268">
        <f t="shared" si="60"/>
        <v>0</v>
      </c>
      <c r="AM65" s="268">
        <f t="shared" si="60"/>
        <v>0</v>
      </c>
      <c r="AN65" s="268">
        <f t="shared" si="60"/>
        <v>0</v>
      </c>
      <c r="AO65" s="269">
        <f t="shared" si="60"/>
        <v>0</v>
      </c>
      <c r="AP65" s="276">
        <v>14000</v>
      </c>
      <c r="AQ65" s="276">
        <v>5101.84</v>
      </c>
      <c r="AR65" s="277">
        <f>AQ65*100/AP65</f>
        <v>36.441714285714284</v>
      </c>
      <c r="AS65" s="278">
        <f t="shared" si="10"/>
        <v>1</v>
      </c>
      <c r="AT65" s="279">
        <f t="shared" si="11"/>
        <v>1</v>
      </c>
      <c r="AU65" s="279">
        <f t="shared" si="12"/>
        <v>0.33621109510086455</v>
      </c>
      <c r="AV65" s="279">
        <f t="shared" si="13"/>
        <v>0</v>
      </c>
    </row>
    <row r="66" spans="1:48" outlineLevel="1" x14ac:dyDescent="0.25">
      <c r="A66" s="5" t="s">
        <v>742</v>
      </c>
      <c r="B66" s="75" t="s">
        <v>927</v>
      </c>
      <c r="C66" s="25"/>
      <c r="D66" s="92">
        <v>1</v>
      </c>
      <c r="E66" s="110">
        <v>3700</v>
      </c>
      <c r="F66" s="93">
        <f>D66*E66</f>
        <v>3700</v>
      </c>
      <c r="G66" s="74">
        <f>H66-F66</f>
        <v>0</v>
      </c>
      <c r="H66" s="95">
        <f t="shared" si="53"/>
        <v>3700</v>
      </c>
      <c r="I66" s="112"/>
      <c r="J66" s="57">
        <v>3700</v>
      </c>
      <c r="K66" s="57"/>
      <c r="L66" s="57"/>
      <c r="M66" s="57"/>
      <c r="N66" s="57"/>
      <c r="O66" s="57"/>
      <c r="P66" s="68"/>
      <c r="Q66" s="58"/>
      <c r="R66" s="93">
        <v>3700</v>
      </c>
      <c r="S66" s="74">
        <f>T66-R66</f>
        <v>0</v>
      </c>
      <c r="T66" s="95">
        <f t="shared" si="54"/>
        <v>3700</v>
      </c>
      <c r="U66" s="112"/>
      <c r="V66" s="57">
        <v>3700</v>
      </c>
      <c r="W66" s="57"/>
      <c r="X66" s="57"/>
      <c r="Y66" s="57"/>
      <c r="Z66" s="57"/>
      <c r="AA66" s="57"/>
      <c r="AB66" s="68"/>
      <c r="AC66" s="58"/>
      <c r="AD66" s="170">
        <v>873.55</v>
      </c>
      <c r="AE66" s="89">
        <f t="shared" si="7"/>
        <v>-873.55</v>
      </c>
      <c r="AF66" s="216">
        <f t="shared" si="8"/>
        <v>0</v>
      </c>
      <c r="AG66" s="147"/>
      <c r="AH66" s="148"/>
      <c r="AI66" s="148"/>
      <c r="AJ66" s="148"/>
      <c r="AK66" s="148"/>
      <c r="AL66" s="148"/>
      <c r="AM66" s="148"/>
      <c r="AN66" s="149"/>
      <c r="AO66" s="150"/>
      <c r="AP66" s="76"/>
      <c r="AQ66" s="76"/>
      <c r="AR66" s="128"/>
      <c r="AS66" s="108">
        <f t="shared" si="10"/>
        <v>1</v>
      </c>
      <c r="AT66" s="249">
        <f t="shared" si="11"/>
        <v>1</v>
      </c>
      <c r="AU66" s="249">
        <f t="shared" si="12"/>
        <v>0.23609459459459459</v>
      </c>
      <c r="AV66" s="249">
        <f t="shared" si="13"/>
        <v>0</v>
      </c>
    </row>
    <row r="67" spans="1:48" outlineLevel="1" x14ac:dyDescent="0.25">
      <c r="A67" s="4" t="s">
        <v>729</v>
      </c>
      <c r="B67" s="75" t="s">
        <v>928</v>
      </c>
      <c r="C67" s="25"/>
      <c r="D67" s="92">
        <v>1</v>
      </c>
      <c r="E67" s="110">
        <v>1500</v>
      </c>
      <c r="F67" s="93">
        <f>D67*E67</f>
        <v>1500</v>
      </c>
      <c r="G67" s="74">
        <f>H67-F67</f>
        <v>0</v>
      </c>
      <c r="H67" s="95">
        <f t="shared" si="53"/>
        <v>1500</v>
      </c>
      <c r="I67" s="112"/>
      <c r="J67" s="57">
        <v>1500</v>
      </c>
      <c r="K67" s="57"/>
      <c r="L67" s="57"/>
      <c r="M67" s="57"/>
      <c r="N67" s="57"/>
      <c r="O67" s="57"/>
      <c r="P67" s="68"/>
      <c r="Q67" s="58"/>
      <c r="R67" s="93">
        <v>1500</v>
      </c>
      <c r="S67" s="74">
        <f>T67-R67</f>
        <v>0</v>
      </c>
      <c r="T67" s="95">
        <f t="shared" si="54"/>
        <v>1500</v>
      </c>
      <c r="U67" s="112"/>
      <c r="V67" s="57">
        <v>1500</v>
      </c>
      <c r="W67" s="57"/>
      <c r="X67" s="57"/>
      <c r="Y67" s="57"/>
      <c r="Z67" s="57"/>
      <c r="AA67" s="57"/>
      <c r="AB67" s="68"/>
      <c r="AC67" s="58"/>
      <c r="AD67" s="170">
        <v>729.72</v>
      </c>
      <c r="AE67" s="89">
        <f t="shared" si="7"/>
        <v>-729.72</v>
      </c>
      <c r="AF67" s="216">
        <f t="shared" si="8"/>
        <v>0</v>
      </c>
      <c r="AG67" s="147"/>
      <c r="AH67" s="148"/>
      <c r="AI67" s="148"/>
      <c r="AJ67" s="148"/>
      <c r="AK67" s="148"/>
      <c r="AL67" s="148"/>
      <c r="AM67" s="148"/>
      <c r="AN67" s="149"/>
      <c r="AO67" s="150"/>
      <c r="AP67" s="76"/>
      <c r="AQ67" s="76"/>
      <c r="AR67" s="128"/>
      <c r="AS67" s="108">
        <f t="shared" si="10"/>
        <v>1</v>
      </c>
      <c r="AT67" s="249">
        <f t="shared" si="11"/>
        <v>1</v>
      </c>
      <c r="AU67" s="249">
        <f t="shared" si="12"/>
        <v>0.48648000000000002</v>
      </c>
      <c r="AV67" s="249">
        <f t="shared" si="13"/>
        <v>0</v>
      </c>
    </row>
    <row r="68" spans="1:48" outlineLevel="1" x14ac:dyDescent="0.25">
      <c r="A68" s="4" t="s">
        <v>743</v>
      </c>
      <c r="B68" s="75" t="s">
        <v>926</v>
      </c>
      <c r="C68" s="25"/>
      <c r="D68" s="92">
        <v>1</v>
      </c>
      <c r="E68" s="110">
        <v>180</v>
      </c>
      <c r="F68" s="93">
        <f>D68*E68</f>
        <v>180</v>
      </c>
      <c r="G68" s="74">
        <f>H68-F68</f>
        <v>0</v>
      </c>
      <c r="H68" s="95">
        <f t="shared" si="53"/>
        <v>180</v>
      </c>
      <c r="I68" s="112"/>
      <c r="J68" s="57">
        <v>180</v>
      </c>
      <c r="K68" s="57"/>
      <c r="L68" s="57"/>
      <c r="M68" s="57"/>
      <c r="N68" s="57"/>
      <c r="O68" s="57"/>
      <c r="P68" s="68"/>
      <c r="Q68" s="58"/>
      <c r="R68" s="93">
        <v>180</v>
      </c>
      <c r="S68" s="74">
        <f>T68-R68</f>
        <v>0</v>
      </c>
      <c r="T68" s="95">
        <f t="shared" si="54"/>
        <v>180</v>
      </c>
      <c r="U68" s="112"/>
      <c r="V68" s="57">
        <v>180</v>
      </c>
      <c r="W68" s="57"/>
      <c r="X68" s="57"/>
      <c r="Y68" s="57"/>
      <c r="Z68" s="57"/>
      <c r="AA68" s="57"/>
      <c r="AB68" s="68"/>
      <c r="AC68" s="58"/>
      <c r="AD68" s="170">
        <v>250.34</v>
      </c>
      <c r="AE68" s="89">
        <f t="shared" si="7"/>
        <v>-250.34</v>
      </c>
      <c r="AF68" s="216">
        <f t="shared" si="8"/>
        <v>0</v>
      </c>
      <c r="AG68" s="147"/>
      <c r="AH68" s="148"/>
      <c r="AI68" s="148"/>
      <c r="AJ68" s="148"/>
      <c r="AK68" s="148"/>
      <c r="AL68" s="148"/>
      <c r="AM68" s="148"/>
      <c r="AN68" s="149"/>
      <c r="AO68" s="150"/>
      <c r="AP68" s="76"/>
      <c r="AQ68" s="76"/>
      <c r="AR68" s="128"/>
      <c r="AS68" s="108">
        <f t="shared" si="10"/>
        <v>1</v>
      </c>
      <c r="AT68" s="249">
        <f t="shared" si="11"/>
        <v>1</v>
      </c>
      <c r="AU68" s="249">
        <f t="shared" si="12"/>
        <v>1.3907777777777779</v>
      </c>
      <c r="AV68" s="249">
        <f t="shared" si="13"/>
        <v>0</v>
      </c>
    </row>
    <row r="69" spans="1:48" outlineLevel="1" x14ac:dyDescent="0.25">
      <c r="A69" s="4" t="s">
        <v>744</v>
      </c>
      <c r="B69" s="75" t="s">
        <v>951</v>
      </c>
      <c r="C69" s="25"/>
      <c r="D69" s="92">
        <v>1</v>
      </c>
      <c r="E69" s="110">
        <v>8500</v>
      </c>
      <c r="F69" s="93">
        <f>D69*E69</f>
        <v>8500</v>
      </c>
      <c r="G69" s="74">
        <f>H69-F69</f>
        <v>0</v>
      </c>
      <c r="H69" s="95">
        <f t="shared" si="53"/>
        <v>8500</v>
      </c>
      <c r="I69" s="112"/>
      <c r="J69" s="57"/>
      <c r="K69" s="57"/>
      <c r="L69" s="57"/>
      <c r="M69" s="57"/>
      <c r="N69" s="57"/>
      <c r="O69" s="57"/>
      <c r="P69" s="68">
        <v>8500</v>
      </c>
      <c r="Q69" s="58"/>
      <c r="R69" s="93">
        <v>8500</v>
      </c>
      <c r="S69" s="74">
        <f>T69-R69</f>
        <v>0</v>
      </c>
      <c r="T69" s="95">
        <f t="shared" si="54"/>
        <v>8500</v>
      </c>
      <c r="U69" s="112"/>
      <c r="V69" s="57"/>
      <c r="W69" s="57"/>
      <c r="X69" s="57"/>
      <c r="Y69" s="57"/>
      <c r="Z69" s="57"/>
      <c r="AA69" s="57"/>
      <c r="AB69" s="68">
        <v>8500</v>
      </c>
      <c r="AC69" s="58"/>
      <c r="AD69" s="215">
        <v>2813</v>
      </c>
      <c r="AE69" s="89">
        <f t="shared" ref="AE69:AE132" si="61">AF69-AD69</f>
        <v>-2813</v>
      </c>
      <c r="AF69" s="216">
        <f t="shared" ref="AF69:AF132" si="62">+AG69+AH69+AI69+AJ69+AK69+AL69+AM69+AN69+AO69</f>
        <v>0</v>
      </c>
      <c r="AG69" s="147"/>
      <c r="AH69" s="148"/>
      <c r="AI69" s="148"/>
      <c r="AJ69" s="148"/>
      <c r="AK69" s="148"/>
      <c r="AL69" s="148"/>
      <c r="AM69" s="148"/>
      <c r="AN69" s="149"/>
      <c r="AO69" s="150"/>
      <c r="AP69" s="76"/>
      <c r="AQ69" s="76"/>
      <c r="AR69" s="128"/>
      <c r="AS69" s="108">
        <f t="shared" ref="AS69:AS132" si="63">+R69/F69</f>
        <v>1</v>
      </c>
      <c r="AT69" s="249">
        <f t="shared" ref="AT69:AT132" si="64">+T69/H69</f>
        <v>1</v>
      </c>
      <c r="AU69" s="249">
        <f t="shared" ref="AU69:AU132" si="65">+AD69/F69</f>
        <v>0.33094117647058824</v>
      </c>
      <c r="AV69" s="249">
        <f t="shared" ref="AV69:AV132" si="66">+AF69/H69</f>
        <v>0</v>
      </c>
    </row>
    <row r="70" spans="1:48" outlineLevel="1" x14ac:dyDescent="0.25">
      <c r="A70" s="4" t="s">
        <v>1035</v>
      </c>
      <c r="B70" s="75" t="s">
        <v>47</v>
      </c>
      <c r="C70" s="25"/>
      <c r="D70" s="92"/>
      <c r="E70" s="110"/>
      <c r="F70" s="93">
        <f>D70*E70</f>
        <v>0</v>
      </c>
      <c r="G70" s="74">
        <f>H70-F70</f>
        <v>0</v>
      </c>
      <c r="H70" s="95">
        <f t="shared" si="53"/>
        <v>0</v>
      </c>
      <c r="I70" s="112"/>
      <c r="J70" s="57"/>
      <c r="K70" s="57"/>
      <c r="L70" s="57"/>
      <c r="M70" s="57"/>
      <c r="N70" s="57"/>
      <c r="O70" s="57"/>
      <c r="P70" s="68"/>
      <c r="Q70" s="58"/>
      <c r="R70" s="93">
        <f>P70*Q70</f>
        <v>0</v>
      </c>
      <c r="S70" s="74">
        <f>T70-R70</f>
        <v>0</v>
      </c>
      <c r="T70" s="95">
        <f t="shared" si="54"/>
        <v>0</v>
      </c>
      <c r="U70" s="112"/>
      <c r="V70" s="57"/>
      <c r="W70" s="57"/>
      <c r="X70" s="57"/>
      <c r="Y70" s="57"/>
      <c r="Z70" s="57"/>
      <c r="AA70" s="57"/>
      <c r="AB70" s="68"/>
      <c r="AC70" s="58"/>
      <c r="AD70" s="170">
        <f>P70*Q70</f>
        <v>0</v>
      </c>
      <c r="AE70" s="89">
        <f t="shared" si="61"/>
        <v>0</v>
      </c>
      <c r="AF70" s="216">
        <f t="shared" si="62"/>
        <v>0</v>
      </c>
      <c r="AG70" s="147"/>
      <c r="AH70" s="148"/>
      <c r="AI70" s="148"/>
      <c r="AJ70" s="148"/>
      <c r="AK70" s="148"/>
      <c r="AL70" s="148"/>
      <c r="AM70" s="148"/>
      <c r="AN70" s="149"/>
      <c r="AO70" s="150"/>
      <c r="AP70" s="76"/>
      <c r="AQ70" s="76"/>
      <c r="AR70" s="128"/>
      <c r="AS70" s="108"/>
      <c r="AT70" s="249"/>
      <c r="AU70" s="249"/>
      <c r="AV70" s="249"/>
    </row>
    <row r="71" spans="1:48" s="280" customFormat="1" ht="15.75" x14ac:dyDescent="0.25">
      <c r="A71" s="270" t="s">
        <v>745</v>
      </c>
      <c r="B71" s="271" t="s">
        <v>714</v>
      </c>
      <c r="C71" s="272"/>
      <c r="D71" s="273"/>
      <c r="E71" s="274"/>
      <c r="F71" s="264">
        <f>SUM(F72:F76)</f>
        <v>7640</v>
      </c>
      <c r="G71" s="265">
        <f t="shared" ref="G71:Q71" si="67">SUM(G72:G76)</f>
        <v>0</v>
      </c>
      <c r="H71" s="275">
        <f t="shared" si="53"/>
        <v>7640</v>
      </c>
      <c r="I71" s="267">
        <f t="shared" si="67"/>
        <v>0</v>
      </c>
      <c r="J71" s="268">
        <f t="shared" si="67"/>
        <v>0</v>
      </c>
      <c r="K71" s="268">
        <f t="shared" si="67"/>
        <v>0</v>
      </c>
      <c r="L71" s="268">
        <f t="shared" si="67"/>
        <v>0</v>
      </c>
      <c r="M71" s="268">
        <f t="shared" si="67"/>
        <v>0</v>
      </c>
      <c r="N71" s="268">
        <f t="shared" si="67"/>
        <v>0</v>
      </c>
      <c r="O71" s="268">
        <f t="shared" si="67"/>
        <v>0</v>
      </c>
      <c r="P71" s="268">
        <f t="shared" si="67"/>
        <v>7640</v>
      </c>
      <c r="Q71" s="269">
        <f t="shared" si="67"/>
        <v>0</v>
      </c>
      <c r="R71" s="264">
        <f>SUM(R72:R76)</f>
        <v>7640</v>
      </c>
      <c r="S71" s="265">
        <f>SUM(S72:S76)</f>
        <v>0</v>
      </c>
      <c r="T71" s="275">
        <f t="shared" si="54"/>
        <v>7640</v>
      </c>
      <c r="U71" s="267">
        <f t="shared" ref="U71:AC71" si="68">SUM(U72:U76)</f>
        <v>0</v>
      </c>
      <c r="V71" s="268">
        <f t="shared" si="68"/>
        <v>0</v>
      </c>
      <c r="W71" s="268">
        <f t="shared" si="68"/>
        <v>0</v>
      </c>
      <c r="X71" s="268">
        <f t="shared" si="68"/>
        <v>0</v>
      </c>
      <c r="Y71" s="268">
        <f t="shared" si="68"/>
        <v>0</v>
      </c>
      <c r="Z71" s="268">
        <f t="shared" si="68"/>
        <v>0</v>
      </c>
      <c r="AA71" s="268">
        <f t="shared" si="68"/>
        <v>0</v>
      </c>
      <c r="AB71" s="268">
        <f t="shared" si="68"/>
        <v>7640</v>
      </c>
      <c r="AC71" s="269">
        <f t="shared" si="68"/>
        <v>0</v>
      </c>
      <c r="AD71" s="264">
        <f>SUM(AD72:AD76)</f>
        <v>6643.1900000000005</v>
      </c>
      <c r="AE71" s="265">
        <f t="shared" si="61"/>
        <v>-6643.1900000000005</v>
      </c>
      <c r="AF71" s="266">
        <f t="shared" si="62"/>
        <v>0</v>
      </c>
      <c r="AG71" s="267">
        <f t="shared" ref="AG71:AO71" si="69">SUM(AG72:AG76)</f>
        <v>0</v>
      </c>
      <c r="AH71" s="268">
        <f t="shared" si="69"/>
        <v>0</v>
      </c>
      <c r="AI71" s="268">
        <f t="shared" si="69"/>
        <v>0</v>
      </c>
      <c r="AJ71" s="268">
        <f t="shared" si="69"/>
        <v>0</v>
      </c>
      <c r="AK71" s="268">
        <f t="shared" si="69"/>
        <v>0</v>
      </c>
      <c r="AL71" s="268">
        <f t="shared" si="69"/>
        <v>0</v>
      </c>
      <c r="AM71" s="268">
        <f t="shared" si="69"/>
        <v>0</v>
      </c>
      <c r="AN71" s="268">
        <f t="shared" si="69"/>
        <v>0</v>
      </c>
      <c r="AO71" s="269">
        <f t="shared" si="69"/>
        <v>0</v>
      </c>
      <c r="AP71" s="276">
        <v>7640</v>
      </c>
      <c r="AQ71" s="276">
        <v>3497.79</v>
      </c>
      <c r="AR71" s="277">
        <f>AQ71*100/AP71</f>
        <v>45.782591623036652</v>
      </c>
      <c r="AS71" s="278">
        <f t="shared" si="63"/>
        <v>1</v>
      </c>
      <c r="AT71" s="279">
        <f t="shared" si="64"/>
        <v>1</v>
      </c>
      <c r="AU71" s="279">
        <f t="shared" si="65"/>
        <v>0.8695274869109948</v>
      </c>
      <c r="AV71" s="279">
        <f t="shared" si="66"/>
        <v>0</v>
      </c>
    </row>
    <row r="72" spans="1:48" outlineLevel="1" x14ac:dyDescent="0.25">
      <c r="A72" s="5" t="s">
        <v>746</v>
      </c>
      <c r="B72" s="75" t="s">
        <v>924</v>
      </c>
      <c r="C72" s="25"/>
      <c r="D72" s="92">
        <v>1</v>
      </c>
      <c r="E72" s="110">
        <v>1000</v>
      </c>
      <c r="F72" s="93">
        <f>D72*E72</f>
        <v>1000</v>
      </c>
      <c r="G72" s="74">
        <f t="shared" si="14"/>
        <v>0</v>
      </c>
      <c r="H72" s="95">
        <f t="shared" si="53"/>
        <v>1000</v>
      </c>
      <c r="I72" s="112"/>
      <c r="J72" s="57"/>
      <c r="K72" s="57"/>
      <c r="L72" s="57"/>
      <c r="M72" s="57"/>
      <c r="N72" s="57"/>
      <c r="O72" s="57"/>
      <c r="P72" s="68">
        <v>1000</v>
      </c>
      <c r="Q72" s="58"/>
      <c r="R72" s="93">
        <v>1000</v>
      </c>
      <c r="S72" s="74">
        <f t="shared" ref="S72:S79" si="70">T72-R72</f>
        <v>0</v>
      </c>
      <c r="T72" s="95">
        <f t="shared" si="54"/>
        <v>1000</v>
      </c>
      <c r="U72" s="112"/>
      <c r="V72" s="57"/>
      <c r="W72" s="57"/>
      <c r="X72" s="57"/>
      <c r="Y72" s="57"/>
      <c r="Z72" s="57"/>
      <c r="AA72" s="57"/>
      <c r="AB72" s="68">
        <v>1000</v>
      </c>
      <c r="AC72" s="58"/>
      <c r="AD72" s="170">
        <v>145.80000000000001</v>
      </c>
      <c r="AE72" s="89">
        <f t="shared" si="61"/>
        <v>-145.80000000000001</v>
      </c>
      <c r="AF72" s="216">
        <f t="shared" si="62"/>
        <v>0</v>
      </c>
      <c r="AG72" s="147"/>
      <c r="AH72" s="148"/>
      <c r="AI72" s="148"/>
      <c r="AJ72" s="148"/>
      <c r="AK72" s="148"/>
      <c r="AL72" s="148"/>
      <c r="AM72" s="148"/>
      <c r="AN72" s="149"/>
      <c r="AO72" s="150"/>
      <c r="AP72" s="76"/>
      <c r="AQ72" s="76"/>
      <c r="AR72" s="128"/>
      <c r="AS72" s="108">
        <f t="shared" si="63"/>
        <v>1</v>
      </c>
      <c r="AT72" s="249">
        <f t="shared" si="64"/>
        <v>1</v>
      </c>
      <c r="AU72" s="249">
        <f t="shared" si="65"/>
        <v>0.14580000000000001</v>
      </c>
      <c r="AV72" s="249">
        <f t="shared" si="66"/>
        <v>0</v>
      </c>
    </row>
    <row r="73" spans="1:48" outlineLevel="1" x14ac:dyDescent="0.25">
      <c r="A73" s="4" t="s">
        <v>747</v>
      </c>
      <c r="B73" s="75" t="s">
        <v>925</v>
      </c>
      <c r="C73" s="25"/>
      <c r="D73" s="92">
        <v>1</v>
      </c>
      <c r="E73" s="110">
        <v>400</v>
      </c>
      <c r="F73" s="93">
        <f>D73*E73</f>
        <v>400</v>
      </c>
      <c r="G73" s="74">
        <f t="shared" si="14"/>
        <v>0</v>
      </c>
      <c r="H73" s="95">
        <f t="shared" si="53"/>
        <v>400</v>
      </c>
      <c r="I73" s="112"/>
      <c r="J73" s="57"/>
      <c r="K73" s="57"/>
      <c r="L73" s="57"/>
      <c r="M73" s="57"/>
      <c r="N73" s="57"/>
      <c r="O73" s="57"/>
      <c r="P73" s="68">
        <v>400</v>
      </c>
      <c r="Q73" s="58"/>
      <c r="R73" s="93">
        <v>400</v>
      </c>
      <c r="S73" s="74">
        <f t="shared" si="70"/>
        <v>0</v>
      </c>
      <c r="T73" s="95">
        <f t="shared" si="54"/>
        <v>400</v>
      </c>
      <c r="U73" s="112"/>
      <c r="V73" s="57"/>
      <c r="W73" s="57"/>
      <c r="X73" s="57"/>
      <c r="Y73" s="57"/>
      <c r="Z73" s="57"/>
      <c r="AA73" s="57"/>
      <c r="AB73" s="68">
        <v>400</v>
      </c>
      <c r="AC73" s="58"/>
      <c r="AD73" s="170">
        <v>730.14</v>
      </c>
      <c r="AE73" s="89">
        <f t="shared" si="61"/>
        <v>-730.14</v>
      </c>
      <c r="AF73" s="216">
        <f t="shared" si="62"/>
        <v>0</v>
      </c>
      <c r="AG73" s="147"/>
      <c r="AH73" s="148"/>
      <c r="AI73" s="148"/>
      <c r="AJ73" s="148"/>
      <c r="AK73" s="148"/>
      <c r="AL73" s="148"/>
      <c r="AM73" s="148"/>
      <c r="AN73" s="149"/>
      <c r="AO73" s="150"/>
      <c r="AP73" s="76"/>
      <c r="AQ73" s="76"/>
      <c r="AR73" s="128"/>
      <c r="AS73" s="108">
        <f t="shared" si="63"/>
        <v>1</v>
      </c>
      <c r="AT73" s="249">
        <f t="shared" si="64"/>
        <v>1</v>
      </c>
      <c r="AU73" s="249">
        <f t="shared" si="65"/>
        <v>1.82535</v>
      </c>
      <c r="AV73" s="249">
        <f t="shared" si="66"/>
        <v>0</v>
      </c>
    </row>
    <row r="74" spans="1:48" outlineLevel="1" x14ac:dyDescent="0.25">
      <c r="A74" s="4" t="s">
        <v>730</v>
      </c>
      <c r="B74" s="75" t="s">
        <v>926</v>
      </c>
      <c r="C74" s="25"/>
      <c r="D74" s="92">
        <v>1</v>
      </c>
      <c r="E74" s="110">
        <v>1540</v>
      </c>
      <c r="F74" s="93">
        <f>D74*E74</f>
        <v>1540</v>
      </c>
      <c r="G74" s="74">
        <f t="shared" si="14"/>
        <v>0</v>
      </c>
      <c r="H74" s="95">
        <f t="shared" si="53"/>
        <v>1540</v>
      </c>
      <c r="I74" s="112"/>
      <c r="J74" s="57"/>
      <c r="K74" s="57"/>
      <c r="L74" s="57"/>
      <c r="M74" s="57"/>
      <c r="N74" s="57"/>
      <c r="O74" s="57"/>
      <c r="P74" s="68">
        <v>1540</v>
      </c>
      <c r="Q74" s="58"/>
      <c r="R74" s="93">
        <v>1540</v>
      </c>
      <c r="S74" s="74">
        <f t="shared" si="70"/>
        <v>0</v>
      </c>
      <c r="T74" s="95">
        <f t="shared" si="54"/>
        <v>1540</v>
      </c>
      <c r="U74" s="112"/>
      <c r="V74" s="57"/>
      <c r="W74" s="57"/>
      <c r="X74" s="57"/>
      <c r="Y74" s="57"/>
      <c r="Z74" s="57"/>
      <c r="AA74" s="57"/>
      <c r="AB74" s="68">
        <v>1540</v>
      </c>
      <c r="AC74" s="58"/>
      <c r="AD74" s="170">
        <v>1633.87</v>
      </c>
      <c r="AE74" s="89">
        <f t="shared" si="61"/>
        <v>-1633.87</v>
      </c>
      <c r="AF74" s="216">
        <f t="shared" si="62"/>
        <v>0</v>
      </c>
      <c r="AG74" s="147"/>
      <c r="AH74" s="148"/>
      <c r="AI74" s="148"/>
      <c r="AJ74" s="148"/>
      <c r="AK74" s="148"/>
      <c r="AL74" s="148"/>
      <c r="AM74" s="148"/>
      <c r="AN74" s="149"/>
      <c r="AO74" s="150"/>
      <c r="AP74" s="76"/>
      <c r="AQ74" s="76"/>
      <c r="AR74" s="128"/>
      <c r="AS74" s="108">
        <f t="shared" si="63"/>
        <v>1</v>
      </c>
      <c r="AT74" s="249">
        <f t="shared" si="64"/>
        <v>1</v>
      </c>
      <c r="AU74" s="249">
        <f t="shared" si="65"/>
        <v>1.0609545454545455</v>
      </c>
      <c r="AV74" s="249">
        <f t="shared" si="66"/>
        <v>0</v>
      </c>
    </row>
    <row r="75" spans="1:48" outlineLevel="1" x14ac:dyDescent="0.25">
      <c r="A75" s="4" t="s">
        <v>748</v>
      </c>
      <c r="B75" s="75" t="s">
        <v>337</v>
      </c>
      <c r="C75" s="25"/>
      <c r="D75" s="92">
        <v>1</v>
      </c>
      <c r="E75" s="110">
        <v>4700</v>
      </c>
      <c r="F75" s="93">
        <f>D75*E75</f>
        <v>4700</v>
      </c>
      <c r="G75" s="74">
        <f t="shared" si="14"/>
        <v>0</v>
      </c>
      <c r="H75" s="95">
        <f t="shared" si="53"/>
        <v>4700</v>
      </c>
      <c r="I75" s="112"/>
      <c r="J75" s="57"/>
      <c r="K75" s="57"/>
      <c r="L75" s="57"/>
      <c r="M75" s="57"/>
      <c r="N75" s="57"/>
      <c r="O75" s="57"/>
      <c r="P75" s="68">
        <v>4700</v>
      </c>
      <c r="Q75" s="58"/>
      <c r="R75" s="93">
        <v>4700</v>
      </c>
      <c r="S75" s="74">
        <f t="shared" si="70"/>
        <v>0</v>
      </c>
      <c r="T75" s="95">
        <f t="shared" si="54"/>
        <v>4700</v>
      </c>
      <c r="U75" s="112"/>
      <c r="V75" s="57"/>
      <c r="W75" s="57"/>
      <c r="X75" s="57"/>
      <c r="Y75" s="57"/>
      <c r="Z75" s="57"/>
      <c r="AA75" s="57"/>
      <c r="AB75" s="68">
        <v>4700</v>
      </c>
      <c r="AC75" s="58"/>
      <c r="AD75" s="213">
        <v>1564</v>
      </c>
      <c r="AE75" s="89">
        <f t="shared" si="61"/>
        <v>-1564</v>
      </c>
      <c r="AF75" s="216">
        <f t="shared" si="62"/>
        <v>0</v>
      </c>
      <c r="AG75" s="147"/>
      <c r="AH75" s="148"/>
      <c r="AI75" s="148"/>
      <c r="AJ75" s="148"/>
      <c r="AK75" s="148"/>
      <c r="AL75" s="148"/>
      <c r="AM75" s="148"/>
      <c r="AN75" s="149"/>
      <c r="AO75" s="150"/>
      <c r="AP75" s="76"/>
      <c r="AQ75" s="76"/>
      <c r="AR75" s="128"/>
      <c r="AS75" s="108">
        <f t="shared" si="63"/>
        <v>1</v>
      </c>
      <c r="AT75" s="249">
        <f t="shared" si="64"/>
        <v>1</v>
      </c>
      <c r="AU75" s="249">
        <f t="shared" si="65"/>
        <v>0.33276595744680854</v>
      </c>
      <c r="AV75" s="249">
        <f t="shared" si="66"/>
        <v>0</v>
      </c>
    </row>
    <row r="76" spans="1:48" outlineLevel="1" x14ac:dyDescent="0.25">
      <c r="A76" s="4" t="s">
        <v>1036</v>
      </c>
      <c r="B76" s="75" t="s">
        <v>47</v>
      </c>
      <c r="C76" s="25"/>
      <c r="D76" s="92"/>
      <c r="E76" s="110"/>
      <c r="F76" s="93">
        <f>D76*E76</f>
        <v>0</v>
      </c>
      <c r="G76" s="74">
        <f t="shared" ref="G76:G142" si="71">H76-F76</f>
        <v>0</v>
      </c>
      <c r="H76" s="95">
        <f t="shared" si="53"/>
        <v>0</v>
      </c>
      <c r="I76" s="112"/>
      <c r="J76" s="57"/>
      <c r="K76" s="57"/>
      <c r="L76" s="57"/>
      <c r="M76" s="57"/>
      <c r="N76" s="57"/>
      <c r="O76" s="57"/>
      <c r="P76" s="68"/>
      <c r="Q76" s="58"/>
      <c r="R76" s="93">
        <f>P76*Q76</f>
        <v>0</v>
      </c>
      <c r="S76" s="74">
        <f t="shared" si="70"/>
        <v>0</v>
      </c>
      <c r="T76" s="95">
        <f t="shared" si="54"/>
        <v>0</v>
      </c>
      <c r="U76" s="112"/>
      <c r="V76" s="57"/>
      <c r="W76" s="57"/>
      <c r="X76" s="57"/>
      <c r="Y76" s="57"/>
      <c r="Z76" s="57"/>
      <c r="AA76" s="57"/>
      <c r="AB76" s="68"/>
      <c r="AC76" s="58"/>
      <c r="AD76" s="170">
        <v>2569.38</v>
      </c>
      <c r="AE76" s="89">
        <f t="shared" si="61"/>
        <v>-2569.38</v>
      </c>
      <c r="AF76" s="216">
        <f t="shared" si="62"/>
        <v>0</v>
      </c>
      <c r="AG76" s="147"/>
      <c r="AH76" s="148"/>
      <c r="AI76" s="148"/>
      <c r="AJ76" s="148"/>
      <c r="AK76" s="148"/>
      <c r="AL76" s="148"/>
      <c r="AM76" s="148"/>
      <c r="AN76" s="149"/>
      <c r="AO76" s="150"/>
      <c r="AP76" s="76"/>
      <c r="AQ76" s="76"/>
      <c r="AR76" s="128"/>
      <c r="AS76" s="108"/>
      <c r="AT76" s="249"/>
      <c r="AU76" s="249"/>
      <c r="AV76" s="249"/>
    </row>
    <row r="77" spans="1:48" s="280" customFormat="1" ht="15.75" x14ac:dyDescent="0.25">
      <c r="A77" s="270" t="s">
        <v>963</v>
      </c>
      <c r="B77" s="271" t="s">
        <v>988</v>
      </c>
      <c r="C77" s="272"/>
      <c r="D77" s="273"/>
      <c r="E77" s="274"/>
      <c r="F77" s="264">
        <f>SUM(F78:F79)</f>
        <v>1900</v>
      </c>
      <c r="G77" s="265">
        <f t="shared" si="71"/>
        <v>0</v>
      </c>
      <c r="H77" s="275">
        <f t="shared" si="53"/>
        <v>1900</v>
      </c>
      <c r="I77" s="267">
        <f t="shared" ref="I77:Q77" si="72">SUM(I78:I79)</f>
        <v>1900</v>
      </c>
      <c r="J77" s="268">
        <f t="shared" si="72"/>
        <v>0</v>
      </c>
      <c r="K77" s="268">
        <f t="shared" si="72"/>
        <v>0</v>
      </c>
      <c r="L77" s="268">
        <f t="shared" si="72"/>
        <v>0</v>
      </c>
      <c r="M77" s="268">
        <f t="shared" si="72"/>
        <v>0</v>
      </c>
      <c r="N77" s="268">
        <f t="shared" si="72"/>
        <v>0</v>
      </c>
      <c r="O77" s="268">
        <f t="shared" si="72"/>
        <v>0</v>
      </c>
      <c r="P77" s="268">
        <f t="shared" si="72"/>
        <v>0</v>
      </c>
      <c r="Q77" s="269">
        <f t="shared" si="72"/>
        <v>0</v>
      </c>
      <c r="R77" s="264">
        <f>SUM(R78:R79)</f>
        <v>1900</v>
      </c>
      <c r="S77" s="265">
        <f t="shared" si="70"/>
        <v>0</v>
      </c>
      <c r="T77" s="275">
        <f t="shared" si="54"/>
        <v>1900</v>
      </c>
      <c r="U77" s="267">
        <f t="shared" ref="U77:AC77" si="73">SUM(U78:U79)</f>
        <v>1900</v>
      </c>
      <c r="V77" s="268">
        <f t="shared" si="73"/>
        <v>0</v>
      </c>
      <c r="W77" s="268">
        <f t="shared" si="73"/>
        <v>0</v>
      </c>
      <c r="X77" s="268">
        <f t="shared" si="73"/>
        <v>0</v>
      </c>
      <c r="Y77" s="268">
        <f t="shared" si="73"/>
        <v>0</v>
      </c>
      <c r="Z77" s="268">
        <f t="shared" si="73"/>
        <v>0</v>
      </c>
      <c r="AA77" s="268">
        <f t="shared" si="73"/>
        <v>0</v>
      </c>
      <c r="AB77" s="268">
        <f t="shared" si="73"/>
        <v>0</v>
      </c>
      <c r="AC77" s="269">
        <f t="shared" si="73"/>
        <v>0</v>
      </c>
      <c r="AD77" s="264">
        <f>SUM(AD78:AD79)</f>
        <v>0</v>
      </c>
      <c r="AE77" s="265">
        <f t="shared" si="61"/>
        <v>0</v>
      </c>
      <c r="AF77" s="266">
        <f t="shared" si="62"/>
        <v>0</v>
      </c>
      <c r="AG77" s="267">
        <f t="shared" ref="AG77:AO77" si="74">SUM(AG78:AG79)</f>
        <v>0</v>
      </c>
      <c r="AH77" s="268">
        <f t="shared" si="74"/>
        <v>0</v>
      </c>
      <c r="AI77" s="268">
        <f t="shared" si="74"/>
        <v>0</v>
      </c>
      <c r="AJ77" s="268">
        <f t="shared" si="74"/>
        <v>0</v>
      </c>
      <c r="AK77" s="268">
        <f t="shared" si="74"/>
        <v>0</v>
      </c>
      <c r="AL77" s="268">
        <f t="shared" si="74"/>
        <v>0</v>
      </c>
      <c r="AM77" s="268">
        <f t="shared" si="74"/>
        <v>0</v>
      </c>
      <c r="AN77" s="268">
        <f t="shared" si="74"/>
        <v>0</v>
      </c>
      <c r="AO77" s="269">
        <f t="shared" si="74"/>
        <v>0</v>
      </c>
      <c r="AP77" s="276"/>
      <c r="AQ77" s="276">
        <f>SUM(AQ78:AQ79)</f>
        <v>0</v>
      </c>
      <c r="AR77" s="277" t="e">
        <f>AQ77*100/AP77</f>
        <v>#DIV/0!</v>
      </c>
      <c r="AS77" s="278">
        <f t="shared" si="63"/>
        <v>1</v>
      </c>
      <c r="AT77" s="279">
        <f t="shared" si="64"/>
        <v>1</v>
      </c>
      <c r="AU77" s="279">
        <f t="shared" si="65"/>
        <v>0</v>
      </c>
      <c r="AV77" s="279">
        <f t="shared" si="66"/>
        <v>0</v>
      </c>
    </row>
    <row r="78" spans="1:48" outlineLevel="1" x14ac:dyDescent="0.25">
      <c r="A78" s="5" t="s">
        <v>896</v>
      </c>
      <c r="B78" s="75" t="s">
        <v>988</v>
      </c>
      <c r="C78" s="25"/>
      <c r="D78" s="92">
        <v>1</v>
      </c>
      <c r="E78" s="110">
        <v>1900</v>
      </c>
      <c r="F78" s="93">
        <f>D78*E78</f>
        <v>1900</v>
      </c>
      <c r="G78" s="74">
        <f t="shared" si="71"/>
        <v>0</v>
      </c>
      <c r="H78" s="95">
        <f t="shared" si="53"/>
        <v>1900</v>
      </c>
      <c r="I78" s="112">
        <v>1900</v>
      </c>
      <c r="J78" s="57"/>
      <c r="K78" s="57"/>
      <c r="L78" s="57"/>
      <c r="M78" s="57"/>
      <c r="N78" s="57"/>
      <c r="O78" s="57"/>
      <c r="P78" s="68"/>
      <c r="Q78" s="58"/>
      <c r="R78" s="93">
        <v>1900</v>
      </c>
      <c r="S78" s="74">
        <f t="shared" si="70"/>
        <v>0</v>
      </c>
      <c r="T78" s="95">
        <f t="shared" si="54"/>
        <v>1900</v>
      </c>
      <c r="U78" s="112">
        <v>1900</v>
      </c>
      <c r="V78" s="57"/>
      <c r="W78" s="57"/>
      <c r="X78" s="57"/>
      <c r="Y78" s="57"/>
      <c r="Z78" s="57"/>
      <c r="AA78" s="57"/>
      <c r="AB78" s="68"/>
      <c r="AC78" s="58"/>
      <c r="AD78" s="170">
        <f>P78*Q78</f>
        <v>0</v>
      </c>
      <c r="AE78" s="89">
        <f t="shared" si="61"/>
        <v>0</v>
      </c>
      <c r="AF78" s="216">
        <f t="shared" si="62"/>
        <v>0</v>
      </c>
      <c r="AG78" s="147"/>
      <c r="AH78" s="148"/>
      <c r="AI78" s="148"/>
      <c r="AJ78" s="148"/>
      <c r="AK78" s="148"/>
      <c r="AL78" s="148"/>
      <c r="AM78" s="148"/>
      <c r="AN78" s="149"/>
      <c r="AO78" s="150"/>
      <c r="AP78" s="76"/>
      <c r="AQ78" s="76"/>
      <c r="AR78" s="128"/>
      <c r="AS78" s="108">
        <f t="shared" si="63"/>
        <v>1</v>
      </c>
      <c r="AT78" s="249">
        <f t="shared" si="64"/>
        <v>1</v>
      </c>
      <c r="AU78" s="249">
        <f t="shared" si="65"/>
        <v>0</v>
      </c>
      <c r="AV78" s="249">
        <f t="shared" si="66"/>
        <v>0</v>
      </c>
    </row>
    <row r="79" spans="1:48" outlineLevel="1" x14ac:dyDescent="0.25">
      <c r="A79" s="4" t="s">
        <v>1037</v>
      </c>
      <c r="B79" s="75" t="s">
        <v>47</v>
      </c>
      <c r="C79" s="25"/>
      <c r="D79" s="92"/>
      <c r="E79" s="110"/>
      <c r="F79" s="93">
        <f>D79*E79</f>
        <v>0</v>
      </c>
      <c r="G79" s="74">
        <f t="shared" si="71"/>
        <v>0</v>
      </c>
      <c r="H79" s="95">
        <f t="shared" si="53"/>
        <v>0</v>
      </c>
      <c r="I79" s="112"/>
      <c r="J79" s="57"/>
      <c r="K79" s="57"/>
      <c r="L79" s="57"/>
      <c r="M79" s="57"/>
      <c r="N79" s="57"/>
      <c r="O79" s="57"/>
      <c r="P79" s="68"/>
      <c r="Q79" s="58"/>
      <c r="R79" s="93">
        <f>P79*Q79</f>
        <v>0</v>
      </c>
      <c r="S79" s="74">
        <f t="shared" si="70"/>
        <v>0</v>
      </c>
      <c r="T79" s="95">
        <f t="shared" si="54"/>
        <v>0</v>
      </c>
      <c r="U79" s="112"/>
      <c r="V79" s="57"/>
      <c r="W79" s="57"/>
      <c r="X79" s="57"/>
      <c r="Y79" s="57"/>
      <c r="Z79" s="57"/>
      <c r="AA79" s="57"/>
      <c r="AB79" s="68"/>
      <c r="AC79" s="58"/>
      <c r="AD79" s="170">
        <f>P79*Q79</f>
        <v>0</v>
      </c>
      <c r="AE79" s="89">
        <f t="shared" si="61"/>
        <v>0</v>
      </c>
      <c r="AF79" s="216">
        <f t="shared" si="62"/>
        <v>0</v>
      </c>
      <c r="AG79" s="147"/>
      <c r="AH79" s="148"/>
      <c r="AI79" s="148"/>
      <c r="AJ79" s="148"/>
      <c r="AK79" s="148"/>
      <c r="AL79" s="148"/>
      <c r="AM79" s="148"/>
      <c r="AN79" s="149"/>
      <c r="AO79" s="150"/>
      <c r="AP79" s="76"/>
      <c r="AQ79" s="76"/>
      <c r="AR79" s="128"/>
      <c r="AS79" s="108"/>
      <c r="AT79" s="249"/>
      <c r="AU79" s="249"/>
      <c r="AV79" s="249"/>
    </row>
    <row r="80" spans="1:48" s="280" customFormat="1" ht="15.75" x14ac:dyDescent="0.25">
      <c r="A80" s="270" t="s">
        <v>984</v>
      </c>
      <c r="B80" s="271" t="s">
        <v>1000</v>
      </c>
      <c r="C80" s="272"/>
      <c r="D80" s="273"/>
      <c r="E80" s="274"/>
      <c r="F80" s="264">
        <f>SUM(F81:F83)</f>
        <v>1300</v>
      </c>
      <c r="G80" s="265">
        <f>H80-F80</f>
        <v>0</v>
      </c>
      <c r="H80" s="275">
        <f t="shared" si="53"/>
        <v>1300</v>
      </c>
      <c r="I80" s="267">
        <f t="shared" ref="I80:Q80" si="75">SUM(I81:I83)</f>
        <v>500</v>
      </c>
      <c r="J80" s="268">
        <f t="shared" si="75"/>
        <v>0</v>
      </c>
      <c r="K80" s="268">
        <f t="shared" si="75"/>
        <v>0</v>
      </c>
      <c r="L80" s="268">
        <f t="shared" si="75"/>
        <v>0</v>
      </c>
      <c r="M80" s="268">
        <f t="shared" si="75"/>
        <v>0</v>
      </c>
      <c r="N80" s="268">
        <f t="shared" si="75"/>
        <v>0</v>
      </c>
      <c r="O80" s="268">
        <f t="shared" si="75"/>
        <v>0</v>
      </c>
      <c r="P80" s="268">
        <f t="shared" si="75"/>
        <v>0</v>
      </c>
      <c r="Q80" s="269">
        <f t="shared" si="75"/>
        <v>800</v>
      </c>
      <c r="R80" s="264">
        <f>SUM(R81:R83)</f>
        <v>1300</v>
      </c>
      <c r="S80" s="265">
        <f t="shared" ref="S80:S85" si="76">T80-R80</f>
        <v>0</v>
      </c>
      <c r="T80" s="275">
        <f t="shared" si="54"/>
        <v>1300</v>
      </c>
      <c r="U80" s="267">
        <f t="shared" ref="U80:AC80" si="77">SUM(U81:U83)</f>
        <v>500</v>
      </c>
      <c r="V80" s="268">
        <f t="shared" si="77"/>
        <v>0</v>
      </c>
      <c r="W80" s="268">
        <f t="shared" si="77"/>
        <v>0</v>
      </c>
      <c r="X80" s="268">
        <f t="shared" si="77"/>
        <v>0</v>
      </c>
      <c r="Y80" s="268">
        <f t="shared" si="77"/>
        <v>0</v>
      </c>
      <c r="Z80" s="268">
        <f t="shared" si="77"/>
        <v>0</v>
      </c>
      <c r="AA80" s="268">
        <f t="shared" si="77"/>
        <v>0</v>
      </c>
      <c r="AB80" s="268">
        <f t="shared" si="77"/>
        <v>0</v>
      </c>
      <c r="AC80" s="269">
        <f t="shared" si="77"/>
        <v>800</v>
      </c>
      <c r="AD80" s="264">
        <f>SUM(AD81:AD83)</f>
        <v>0</v>
      </c>
      <c r="AE80" s="265">
        <f t="shared" si="61"/>
        <v>0</v>
      </c>
      <c r="AF80" s="266">
        <f t="shared" si="62"/>
        <v>0</v>
      </c>
      <c r="AG80" s="267">
        <f>SUM(AG81:AG83)</f>
        <v>0</v>
      </c>
      <c r="AH80" s="267">
        <f t="shared" ref="AH80:AO80" si="78">SUM(AH81:AH83)</f>
        <v>0</v>
      </c>
      <c r="AI80" s="267">
        <f t="shared" si="78"/>
        <v>0</v>
      </c>
      <c r="AJ80" s="267">
        <f t="shared" si="78"/>
        <v>0</v>
      </c>
      <c r="AK80" s="267">
        <f t="shared" si="78"/>
        <v>0</v>
      </c>
      <c r="AL80" s="267">
        <f t="shared" si="78"/>
        <v>0</v>
      </c>
      <c r="AM80" s="267">
        <f t="shared" si="78"/>
        <v>0</v>
      </c>
      <c r="AN80" s="267">
        <f t="shared" si="78"/>
        <v>0</v>
      </c>
      <c r="AO80" s="267">
        <f t="shared" si="78"/>
        <v>0</v>
      </c>
      <c r="AP80" s="276"/>
      <c r="AQ80" s="276">
        <f>SUM(AQ81:AQ83)</f>
        <v>0</v>
      </c>
      <c r="AR80" s="277" t="e">
        <f>AQ80*100/AP80</f>
        <v>#DIV/0!</v>
      </c>
      <c r="AS80" s="278">
        <f t="shared" si="63"/>
        <v>1</v>
      </c>
      <c r="AT80" s="279">
        <f t="shared" si="64"/>
        <v>1</v>
      </c>
      <c r="AU80" s="279">
        <f t="shared" si="65"/>
        <v>0</v>
      </c>
      <c r="AV80" s="279">
        <f t="shared" si="66"/>
        <v>0</v>
      </c>
    </row>
    <row r="81" spans="1:48" outlineLevel="1" x14ac:dyDescent="0.25">
      <c r="A81" s="5" t="s">
        <v>985</v>
      </c>
      <c r="B81" s="75" t="s">
        <v>1002</v>
      </c>
      <c r="C81" s="25"/>
      <c r="D81" s="92">
        <v>1</v>
      </c>
      <c r="E81" s="110">
        <v>800</v>
      </c>
      <c r="F81" s="93">
        <f>D81*E81</f>
        <v>800</v>
      </c>
      <c r="G81" s="74">
        <f>H81-F81</f>
        <v>0</v>
      </c>
      <c r="H81" s="95">
        <f t="shared" si="53"/>
        <v>800</v>
      </c>
      <c r="I81" s="112"/>
      <c r="J81" s="57"/>
      <c r="K81" s="57"/>
      <c r="L81" s="57"/>
      <c r="M81" s="57"/>
      <c r="N81" s="57"/>
      <c r="O81" s="57"/>
      <c r="P81" s="68"/>
      <c r="Q81" s="58">
        <v>800</v>
      </c>
      <c r="R81" s="93">
        <v>800</v>
      </c>
      <c r="S81" s="74">
        <f t="shared" si="76"/>
        <v>0</v>
      </c>
      <c r="T81" s="95">
        <f t="shared" si="54"/>
        <v>800</v>
      </c>
      <c r="U81" s="112"/>
      <c r="V81" s="57"/>
      <c r="W81" s="57"/>
      <c r="X81" s="57"/>
      <c r="Y81" s="57"/>
      <c r="Z81" s="57"/>
      <c r="AA81" s="57"/>
      <c r="AB81" s="68"/>
      <c r="AC81" s="58">
        <v>800</v>
      </c>
      <c r="AD81" s="170">
        <f>P81*Q81</f>
        <v>0</v>
      </c>
      <c r="AE81" s="89">
        <f t="shared" si="61"/>
        <v>0</v>
      </c>
      <c r="AF81" s="216">
        <f t="shared" si="62"/>
        <v>0</v>
      </c>
      <c r="AG81" s="147"/>
      <c r="AH81" s="148"/>
      <c r="AI81" s="148"/>
      <c r="AJ81" s="148"/>
      <c r="AK81" s="148"/>
      <c r="AL81" s="148"/>
      <c r="AM81" s="148"/>
      <c r="AN81" s="149"/>
      <c r="AO81" s="150"/>
      <c r="AP81" s="76"/>
      <c r="AQ81" s="76"/>
      <c r="AR81" s="128"/>
      <c r="AS81" s="108">
        <f t="shared" si="63"/>
        <v>1</v>
      </c>
      <c r="AT81" s="249">
        <f t="shared" si="64"/>
        <v>1</v>
      </c>
      <c r="AU81" s="249">
        <f t="shared" si="65"/>
        <v>0</v>
      </c>
      <c r="AV81" s="249">
        <f t="shared" si="66"/>
        <v>0</v>
      </c>
    </row>
    <row r="82" spans="1:48" outlineLevel="1" x14ac:dyDescent="0.25">
      <c r="A82" s="4" t="s">
        <v>986</v>
      </c>
      <c r="B82" s="75" t="s">
        <v>1001</v>
      </c>
      <c r="C82" s="25"/>
      <c r="D82" s="92">
        <v>1</v>
      </c>
      <c r="E82" s="110">
        <v>500</v>
      </c>
      <c r="F82" s="93">
        <f>D82*E82</f>
        <v>500</v>
      </c>
      <c r="G82" s="74">
        <f>H82-F82</f>
        <v>0</v>
      </c>
      <c r="H82" s="95">
        <f t="shared" si="53"/>
        <v>500</v>
      </c>
      <c r="I82" s="112">
        <v>500</v>
      </c>
      <c r="J82" s="57"/>
      <c r="K82" s="57"/>
      <c r="L82" s="57"/>
      <c r="M82" s="57"/>
      <c r="N82" s="57"/>
      <c r="O82" s="57"/>
      <c r="P82" s="68"/>
      <c r="Q82" s="58"/>
      <c r="R82" s="93">
        <v>500</v>
      </c>
      <c r="S82" s="74">
        <f t="shared" si="76"/>
        <v>0</v>
      </c>
      <c r="T82" s="95">
        <f t="shared" si="54"/>
        <v>500</v>
      </c>
      <c r="U82" s="112">
        <v>500</v>
      </c>
      <c r="V82" s="57"/>
      <c r="W82" s="57"/>
      <c r="X82" s="57"/>
      <c r="Y82" s="57"/>
      <c r="Z82" s="57"/>
      <c r="AA82" s="57"/>
      <c r="AB82" s="68"/>
      <c r="AC82" s="58"/>
      <c r="AD82" s="170">
        <f>P82*Q82</f>
        <v>0</v>
      </c>
      <c r="AE82" s="89">
        <f t="shared" si="61"/>
        <v>0</v>
      </c>
      <c r="AF82" s="216">
        <f t="shared" si="62"/>
        <v>0</v>
      </c>
      <c r="AG82" s="147"/>
      <c r="AH82" s="148"/>
      <c r="AI82" s="148"/>
      <c r="AJ82" s="148"/>
      <c r="AK82" s="148"/>
      <c r="AL82" s="148"/>
      <c r="AM82" s="148"/>
      <c r="AN82" s="149"/>
      <c r="AO82" s="150"/>
      <c r="AP82" s="76"/>
      <c r="AQ82" s="76"/>
      <c r="AR82" s="128"/>
      <c r="AS82" s="108">
        <f t="shared" si="63"/>
        <v>1</v>
      </c>
      <c r="AT82" s="249">
        <f t="shared" si="64"/>
        <v>1</v>
      </c>
      <c r="AU82" s="249">
        <f t="shared" si="65"/>
        <v>0</v>
      </c>
      <c r="AV82" s="249">
        <f t="shared" si="66"/>
        <v>0</v>
      </c>
    </row>
    <row r="83" spans="1:48" outlineLevel="1" x14ac:dyDescent="0.25">
      <c r="A83" s="4" t="s">
        <v>1038</v>
      </c>
      <c r="B83" s="75" t="s">
        <v>47</v>
      </c>
      <c r="C83" s="25"/>
      <c r="D83" s="92"/>
      <c r="E83" s="110"/>
      <c r="F83" s="93">
        <f>D83*E83</f>
        <v>0</v>
      </c>
      <c r="G83" s="74">
        <f>H83-F83</f>
        <v>0</v>
      </c>
      <c r="H83" s="95">
        <f t="shared" si="53"/>
        <v>0</v>
      </c>
      <c r="I83" s="112"/>
      <c r="J83" s="57"/>
      <c r="K83" s="57"/>
      <c r="L83" s="57"/>
      <c r="M83" s="57"/>
      <c r="N83" s="57"/>
      <c r="O83" s="57"/>
      <c r="P83" s="68"/>
      <c r="Q83" s="58"/>
      <c r="R83" s="93">
        <f>P83*Q83</f>
        <v>0</v>
      </c>
      <c r="S83" s="74">
        <f t="shared" si="76"/>
        <v>0</v>
      </c>
      <c r="T83" s="95">
        <f t="shared" si="54"/>
        <v>0</v>
      </c>
      <c r="U83" s="112"/>
      <c r="V83" s="57"/>
      <c r="W83" s="57"/>
      <c r="X83" s="57"/>
      <c r="Y83" s="57"/>
      <c r="Z83" s="57"/>
      <c r="AA83" s="57"/>
      <c r="AB83" s="68"/>
      <c r="AC83" s="58"/>
      <c r="AD83" s="170">
        <f>P83*Q83</f>
        <v>0</v>
      </c>
      <c r="AE83" s="89">
        <f t="shared" si="61"/>
        <v>0</v>
      </c>
      <c r="AF83" s="216">
        <f t="shared" si="62"/>
        <v>0</v>
      </c>
      <c r="AG83" s="147"/>
      <c r="AH83" s="148"/>
      <c r="AI83" s="148"/>
      <c r="AJ83" s="148"/>
      <c r="AK83" s="148"/>
      <c r="AL83" s="148"/>
      <c r="AM83" s="148"/>
      <c r="AN83" s="149"/>
      <c r="AO83" s="150"/>
      <c r="AP83" s="76"/>
      <c r="AQ83" s="76"/>
      <c r="AR83" s="128"/>
      <c r="AS83" s="108"/>
      <c r="AT83" s="249"/>
      <c r="AU83" s="249"/>
      <c r="AV83" s="249"/>
    </row>
    <row r="84" spans="1:48" s="240" customFormat="1" outlineLevel="1" x14ac:dyDescent="0.25">
      <c r="A84" s="226" t="s">
        <v>1013</v>
      </c>
      <c r="B84" s="227" t="s">
        <v>388</v>
      </c>
      <c r="C84" s="228"/>
      <c r="D84" s="229"/>
      <c r="E84" s="230"/>
      <c r="F84" s="231"/>
      <c r="G84" s="232"/>
      <c r="H84" s="233"/>
      <c r="I84" s="234"/>
      <c r="J84" s="234"/>
      <c r="K84" s="234"/>
      <c r="L84" s="234"/>
      <c r="M84" s="234"/>
      <c r="N84" s="234"/>
      <c r="O84" s="234"/>
      <c r="P84" s="235"/>
      <c r="Q84" s="236"/>
      <c r="R84" s="231">
        <f>+R85</f>
        <v>0</v>
      </c>
      <c r="S84" s="74">
        <f t="shared" si="76"/>
        <v>0</v>
      </c>
      <c r="T84" s="95">
        <f t="shared" si="54"/>
        <v>0</v>
      </c>
      <c r="U84" s="234">
        <f>+U85</f>
        <v>0</v>
      </c>
      <c r="V84" s="234">
        <f t="shared" ref="V84:AC84" si="79">+V85</f>
        <v>0</v>
      </c>
      <c r="W84" s="234">
        <f t="shared" si="79"/>
        <v>0</v>
      </c>
      <c r="X84" s="234">
        <f t="shared" si="79"/>
        <v>0</v>
      </c>
      <c r="Y84" s="234">
        <f t="shared" si="79"/>
        <v>0</v>
      </c>
      <c r="Z84" s="234">
        <f t="shared" si="79"/>
        <v>0</v>
      </c>
      <c r="AA84" s="234">
        <f t="shared" si="79"/>
        <v>0</v>
      </c>
      <c r="AB84" s="234">
        <f t="shared" si="79"/>
        <v>0</v>
      </c>
      <c r="AC84" s="234">
        <f t="shared" si="79"/>
        <v>0</v>
      </c>
      <c r="AD84" s="231">
        <f>+AD85</f>
        <v>2818.71</v>
      </c>
      <c r="AE84" s="89">
        <f t="shared" si="61"/>
        <v>-2818.71</v>
      </c>
      <c r="AF84" s="237">
        <f t="shared" si="62"/>
        <v>0</v>
      </c>
      <c r="AG84" s="234">
        <f>+AG85</f>
        <v>0</v>
      </c>
      <c r="AH84" s="234">
        <f t="shared" ref="AH84:AO84" si="80">+AH85</f>
        <v>0</v>
      </c>
      <c r="AI84" s="234">
        <f t="shared" si="80"/>
        <v>0</v>
      </c>
      <c r="AJ84" s="234">
        <f t="shared" si="80"/>
        <v>0</v>
      </c>
      <c r="AK84" s="234">
        <f t="shared" si="80"/>
        <v>0</v>
      </c>
      <c r="AL84" s="234">
        <f t="shared" si="80"/>
        <v>0</v>
      </c>
      <c r="AM84" s="234">
        <f t="shared" si="80"/>
        <v>0</v>
      </c>
      <c r="AN84" s="234">
        <f t="shared" si="80"/>
        <v>0</v>
      </c>
      <c r="AO84" s="234">
        <f t="shared" si="80"/>
        <v>0</v>
      </c>
      <c r="AP84" s="238"/>
      <c r="AQ84" s="238"/>
      <c r="AR84" s="239"/>
      <c r="AS84" s="108"/>
      <c r="AT84" s="249"/>
      <c r="AU84" s="249"/>
      <c r="AV84" s="249"/>
    </row>
    <row r="85" spans="1:48" outlineLevel="1" x14ac:dyDescent="0.25">
      <c r="A85" s="4" t="s">
        <v>1014</v>
      </c>
      <c r="B85" s="75" t="s">
        <v>1039</v>
      </c>
      <c r="C85" s="25"/>
      <c r="D85" s="92"/>
      <c r="E85" s="110"/>
      <c r="F85" s="93"/>
      <c r="G85" s="94"/>
      <c r="H85" s="95"/>
      <c r="I85" s="112"/>
      <c r="J85" s="112"/>
      <c r="K85" s="112"/>
      <c r="L85" s="112"/>
      <c r="M85" s="112"/>
      <c r="N85" s="112"/>
      <c r="O85" s="112"/>
      <c r="P85" s="221"/>
      <c r="Q85" s="241"/>
      <c r="R85" s="93"/>
      <c r="S85" s="74">
        <f t="shared" si="76"/>
        <v>0</v>
      </c>
      <c r="T85" s="95">
        <f t="shared" si="54"/>
        <v>0</v>
      </c>
      <c r="U85" s="112"/>
      <c r="V85" s="112"/>
      <c r="W85" s="112"/>
      <c r="X85" s="112"/>
      <c r="Y85" s="112"/>
      <c r="Z85" s="112"/>
      <c r="AA85" s="112"/>
      <c r="AB85" s="221"/>
      <c r="AC85" s="241"/>
      <c r="AD85" s="93">
        <v>2818.71</v>
      </c>
      <c r="AE85" s="89">
        <f t="shared" si="61"/>
        <v>-2818.71</v>
      </c>
      <c r="AF85" s="237">
        <f t="shared" si="62"/>
        <v>0</v>
      </c>
      <c r="AG85" s="112"/>
      <c r="AH85" s="112"/>
      <c r="AI85" s="112"/>
      <c r="AJ85" s="112"/>
      <c r="AK85" s="112"/>
      <c r="AL85" s="112"/>
      <c r="AM85" s="112"/>
      <c r="AN85" s="221"/>
      <c r="AO85" s="241"/>
      <c r="AP85" s="176"/>
      <c r="AQ85" s="176"/>
      <c r="AR85" s="177"/>
      <c r="AS85" s="108"/>
      <c r="AT85" s="249"/>
      <c r="AU85" s="249"/>
      <c r="AV85" s="249"/>
    </row>
    <row r="86" spans="1:48" s="2" customFormat="1" ht="21" x14ac:dyDescent="0.35">
      <c r="A86" s="8" t="s">
        <v>116</v>
      </c>
      <c r="B86" s="12" t="s">
        <v>0</v>
      </c>
      <c r="C86" s="21"/>
      <c r="D86" s="22"/>
      <c r="E86" s="67"/>
      <c r="F86" s="84">
        <f>F87+F94+F101+F106+F110+F114+F118+F122+F126+F130+F141+F146</f>
        <v>28100</v>
      </c>
      <c r="G86" s="90">
        <f t="shared" si="71"/>
        <v>0</v>
      </c>
      <c r="H86" s="16">
        <f t="shared" si="53"/>
        <v>28100</v>
      </c>
      <c r="I86" s="51">
        <f t="shared" ref="I86:R86" si="81">I87+I94+I101+I106+I110+I114+I118+I122+I126+I130+I141+I146</f>
        <v>16900</v>
      </c>
      <c r="J86" s="51">
        <f t="shared" si="81"/>
        <v>0</v>
      </c>
      <c r="K86" s="51">
        <f t="shared" si="81"/>
        <v>500</v>
      </c>
      <c r="L86" s="51">
        <f t="shared" si="81"/>
        <v>9000</v>
      </c>
      <c r="M86" s="51">
        <f t="shared" si="81"/>
        <v>500</v>
      </c>
      <c r="N86" s="51">
        <f t="shared" si="81"/>
        <v>0</v>
      </c>
      <c r="O86" s="51">
        <f t="shared" si="81"/>
        <v>0</v>
      </c>
      <c r="P86" s="51">
        <f t="shared" si="81"/>
        <v>0</v>
      </c>
      <c r="Q86" s="59">
        <f t="shared" si="81"/>
        <v>1200</v>
      </c>
      <c r="R86" s="84">
        <f t="shared" si="81"/>
        <v>28100</v>
      </c>
      <c r="S86" s="90">
        <f t="shared" ref="S86:S152" si="82">T86-R86</f>
        <v>0</v>
      </c>
      <c r="T86" s="16">
        <f t="shared" ref="T86:T151" si="83">SUM(U86:AC86)</f>
        <v>28100</v>
      </c>
      <c r="U86" s="51">
        <f t="shared" ref="U86:AD86" si="84">U87+U94+U101+U106+U110+U114+U118+U122+U126+U130+U141+U146</f>
        <v>16900</v>
      </c>
      <c r="V86" s="51">
        <f t="shared" si="84"/>
        <v>0</v>
      </c>
      <c r="W86" s="218">
        <f t="shared" si="84"/>
        <v>500</v>
      </c>
      <c r="X86" s="51">
        <f t="shared" si="84"/>
        <v>9000</v>
      </c>
      <c r="Y86" s="51">
        <f t="shared" si="84"/>
        <v>500</v>
      </c>
      <c r="Z86" s="51">
        <f t="shared" si="84"/>
        <v>0</v>
      </c>
      <c r="AA86" s="51">
        <f t="shared" si="84"/>
        <v>0</v>
      </c>
      <c r="AB86" s="51">
        <f t="shared" si="84"/>
        <v>0</v>
      </c>
      <c r="AC86" s="59">
        <f t="shared" si="84"/>
        <v>1200</v>
      </c>
      <c r="AD86" s="255">
        <f t="shared" si="84"/>
        <v>5691.91</v>
      </c>
      <c r="AE86" s="256">
        <f t="shared" si="61"/>
        <v>-5691.91</v>
      </c>
      <c r="AF86" s="257">
        <f t="shared" si="62"/>
        <v>0</v>
      </c>
      <c r="AG86" s="260">
        <f t="shared" ref="AG86:AQ86" si="85">AG87+AG94+AG101+AG106+AG110+AG114+AG118+AG122+AG126+AG130+AG141+AG146</f>
        <v>0</v>
      </c>
      <c r="AH86" s="260">
        <f t="shared" si="85"/>
        <v>0</v>
      </c>
      <c r="AI86" s="260">
        <f t="shared" si="85"/>
        <v>0</v>
      </c>
      <c r="AJ86" s="260">
        <f t="shared" si="85"/>
        <v>0</v>
      </c>
      <c r="AK86" s="260">
        <f t="shared" si="85"/>
        <v>0</v>
      </c>
      <c r="AL86" s="260">
        <f t="shared" si="85"/>
        <v>0</v>
      </c>
      <c r="AM86" s="260">
        <f t="shared" si="85"/>
        <v>0</v>
      </c>
      <c r="AN86" s="260">
        <f t="shared" si="85"/>
        <v>0</v>
      </c>
      <c r="AO86" s="261">
        <f t="shared" si="85"/>
        <v>0</v>
      </c>
      <c r="AP86" s="32">
        <f t="shared" si="85"/>
        <v>20430</v>
      </c>
      <c r="AQ86" s="32">
        <f t="shared" si="85"/>
        <v>19036.990000000002</v>
      </c>
      <c r="AR86" s="126">
        <f>AQ86*100/AP86</f>
        <v>93.181546744982882</v>
      </c>
      <c r="AS86" s="108">
        <f t="shared" si="63"/>
        <v>1</v>
      </c>
      <c r="AT86" s="249">
        <f t="shared" si="64"/>
        <v>1</v>
      </c>
      <c r="AU86" s="249">
        <f t="shared" si="65"/>
        <v>0.20255907473309609</v>
      </c>
      <c r="AV86" s="249">
        <f t="shared" si="66"/>
        <v>0</v>
      </c>
    </row>
    <row r="87" spans="1:48" s="280" customFormat="1" ht="15.75" x14ac:dyDescent="0.25">
      <c r="A87" s="270" t="s">
        <v>117</v>
      </c>
      <c r="B87" s="271" t="s">
        <v>696</v>
      </c>
      <c r="C87" s="272"/>
      <c r="D87" s="273"/>
      <c r="E87" s="274"/>
      <c r="F87" s="264">
        <f>SUM(F88:F93)</f>
        <v>9950</v>
      </c>
      <c r="G87" s="265">
        <f t="shared" si="71"/>
        <v>0</v>
      </c>
      <c r="H87" s="275">
        <f t="shared" si="53"/>
        <v>9950</v>
      </c>
      <c r="I87" s="267">
        <f>SUM(I88:I93)</f>
        <v>4300</v>
      </c>
      <c r="J87" s="268">
        <f t="shared" ref="J87:Q87" si="86">SUM(J88:J93)</f>
        <v>0</v>
      </c>
      <c r="K87" s="268">
        <f t="shared" si="86"/>
        <v>500</v>
      </c>
      <c r="L87" s="268">
        <f t="shared" si="86"/>
        <v>4650</v>
      </c>
      <c r="M87" s="268">
        <f>SUM(M88:M93)</f>
        <v>500</v>
      </c>
      <c r="N87" s="268">
        <f t="shared" si="86"/>
        <v>0</v>
      </c>
      <c r="O87" s="268">
        <f t="shared" si="86"/>
        <v>0</v>
      </c>
      <c r="P87" s="268">
        <f>SUM(P88:P93)</f>
        <v>0</v>
      </c>
      <c r="Q87" s="269">
        <f t="shared" si="86"/>
        <v>0</v>
      </c>
      <c r="R87" s="264">
        <f>SUM(R88:R93)</f>
        <v>9950</v>
      </c>
      <c r="S87" s="265">
        <f t="shared" si="82"/>
        <v>0</v>
      </c>
      <c r="T87" s="275">
        <f t="shared" si="83"/>
        <v>9950</v>
      </c>
      <c r="U87" s="267">
        <f t="shared" ref="U87:AD87" si="87">SUM(U88:U93)</f>
        <v>4300</v>
      </c>
      <c r="V87" s="268">
        <f t="shared" si="87"/>
        <v>0</v>
      </c>
      <c r="W87" s="268">
        <f t="shared" si="87"/>
        <v>500</v>
      </c>
      <c r="X87" s="268">
        <f t="shared" si="87"/>
        <v>4650</v>
      </c>
      <c r="Y87" s="268">
        <f t="shared" si="87"/>
        <v>500</v>
      </c>
      <c r="Z87" s="268">
        <f t="shared" si="87"/>
        <v>0</v>
      </c>
      <c r="AA87" s="268">
        <f t="shared" si="87"/>
        <v>0</v>
      </c>
      <c r="AB87" s="268">
        <f t="shared" si="87"/>
        <v>0</v>
      </c>
      <c r="AC87" s="269">
        <f t="shared" si="87"/>
        <v>0</v>
      </c>
      <c r="AD87" s="264">
        <f t="shared" si="87"/>
        <v>752</v>
      </c>
      <c r="AE87" s="265">
        <f t="shared" si="61"/>
        <v>-752</v>
      </c>
      <c r="AF87" s="266">
        <f t="shared" si="62"/>
        <v>0</v>
      </c>
      <c r="AG87" s="267">
        <f t="shared" ref="AG87:AO87" si="88">SUM(AG88:AG93)</f>
        <v>0</v>
      </c>
      <c r="AH87" s="268">
        <f t="shared" si="88"/>
        <v>0</v>
      </c>
      <c r="AI87" s="268">
        <f t="shared" si="88"/>
        <v>0</v>
      </c>
      <c r="AJ87" s="268">
        <f t="shared" si="88"/>
        <v>0</v>
      </c>
      <c r="AK87" s="268">
        <f t="shared" si="88"/>
        <v>0</v>
      </c>
      <c r="AL87" s="268">
        <f t="shared" si="88"/>
        <v>0</v>
      </c>
      <c r="AM87" s="268">
        <f t="shared" si="88"/>
        <v>0</v>
      </c>
      <c r="AN87" s="268">
        <f t="shared" si="88"/>
        <v>0</v>
      </c>
      <c r="AO87" s="269">
        <f t="shared" si="88"/>
        <v>0</v>
      </c>
      <c r="AP87" s="276">
        <v>10000</v>
      </c>
      <c r="AQ87" s="276">
        <f>6885.26+2499.76</f>
        <v>9385.02</v>
      </c>
      <c r="AR87" s="277">
        <f>AQ87*100/AP87</f>
        <v>93.850200000000001</v>
      </c>
      <c r="AS87" s="278">
        <f t="shared" si="63"/>
        <v>1</v>
      </c>
      <c r="AT87" s="279">
        <f t="shared" si="64"/>
        <v>1</v>
      </c>
      <c r="AU87" s="279">
        <f t="shared" si="65"/>
        <v>7.5577889447236174E-2</v>
      </c>
      <c r="AV87" s="279">
        <f t="shared" si="66"/>
        <v>0</v>
      </c>
    </row>
    <row r="88" spans="1:48" outlineLevel="1" x14ac:dyDescent="0.25">
      <c r="A88" s="5" t="s">
        <v>118</v>
      </c>
      <c r="B88" s="75" t="s">
        <v>20</v>
      </c>
      <c r="C88" s="25"/>
      <c r="D88" s="92">
        <v>1</v>
      </c>
      <c r="E88" s="110">
        <v>6800</v>
      </c>
      <c r="F88" s="93">
        <f t="shared" ref="F88:F93" si="89">D88*E88</f>
        <v>6800</v>
      </c>
      <c r="G88" s="74">
        <f t="shared" si="71"/>
        <v>0</v>
      </c>
      <c r="H88" s="95">
        <f t="shared" si="53"/>
        <v>6800</v>
      </c>
      <c r="I88" s="112">
        <v>2400</v>
      </c>
      <c r="J88" s="57"/>
      <c r="K88" s="57"/>
      <c r="L88" s="57">
        <v>4400</v>
      </c>
      <c r="M88" s="57"/>
      <c r="N88" s="57"/>
      <c r="O88" s="57"/>
      <c r="P88" s="68"/>
      <c r="Q88" s="58"/>
      <c r="R88" s="93">
        <v>6800</v>
      </c>
      <c r="S88" s="74">
        <f t="shared" si="82"/>
        <v>0</v>
      </c>
      <c r="T88" s="95">
        <f t="shared" si="83"/>
        <v>6800</v>
      </c>
      <c r="U88" s="112">
        <v>2400</v>
      </c>
      <c r="V88" s="57"/>
      <c r="W88" s="57"/>
      <c r="X88" s="57">
        <v>4400</v>
      </c>
      <c r="Y88" s="57"/>
      <c r="Z88" s="57"/>
      <c r="AA88" s="57"/>
      <c r="AB88" s="68"/>
      <c r="AC88" s="58"/>
      <c r="AD88" s="170">
        <f>P88*Q88</f>
        <v>0</v>
      </c>
      <c r="AE88" s="89">
        <f t="shared" si="61"/>
        <v>0</v>
      </c>
      <c r="AF88" s="216">
        <f t="shared" si="62"/>
        <v>0</v>
      </c>
      <c r="AG88" s="147"/>
      <c r="AH88" s="148"/>
      <c r="AI88" s="148"/>
      <c r="AJ88" s="148"/>
      <c r="AK88" s="148"/>
      <c r="AL88" s="148"/>
      <c r="AM88" s="148"/>
      <c r="AN88" s="149"/>
      <c r="AO88" s="150"/>
      <c r="AP88" s="76"/>
      <c r="AQ88" s="76"/>
      <c r="AR88" s="128"/>
      <c r="AS88" s="108">
        <f t="shared" si="63"/>
        <v>1</v>
      </c>
      <c r="AT88" s="249">
        <f t="shared" si="64"/>
        <v>1</v>
      </c>
      <c r="AU88" s="249">
        <f t="shared" si="65"/>
        <v>0</v>
      </c>
      <c r="AV88" s="249">
        <f t="shared" si="66"/>
        <v>0</v>
      </c>
    </row>
    <row r="89" spans="1:48" outlineLevel="1" x14ac:dyDescent="0.25">
      <c r="A89" s="4" t="s">
        <v>119</v>
      </c>
      <c r="B89" s="75" t="s">
        <v>692</v>
      </c>
      <c r="C89" s="25" t="s">
        <v>106</v>
      </c>
      <c r="D89" s="92">
        <v>1</v>
      </c>
      <c r="E89" s="110">
        <v>1300</v>
      </c>
      <c r="F89" s="93">
        <f t="shared" si="89"/>
        <v>1300</v>
      </c>
      <c r="G89" s="74">
        <f t="shared" si="71"/>
        <v>0</v>
      </c>
      <c r="H89" s="95">
        <f t="shared" si="53"/>
        <v>1300</v>
      </c>
      <c r="I89" s="112">
        <v>1300</v>
      </c>
      <c r="J89" s="57"/>
      <c r="K89" s="57"/>
      <c r="L89" s="57"/>
      <c r="M89" s="57"/>
      <c r="N89" s="57"/>
      <c r="O89" s="57"/>
      <c r="P89" s="68"/>
      <c r="Q89" s="58"/>
      <c r="R89" s="93">
        <v>1300</v>
      </c>
      <c r="S89" s="74">
        <f t="shared" si="82"/>
        <v>0</v>
      </c>
      <c r="T89" s="95">
        <f t="shared" si="83"/>
        <v>1300</v>
      </c>
      <c r="U89" s="112">
        <v>1300</v>
      </c>
      <c r="V89" s="57"/>
      <c r="W89" s="57"/>
      <c r="X89" s="57"/>
      <c r="Y89" s="57"/>
      <c r="Z89" s="57"/>
      <c r="AA89" s="57"/>
      <c r="AB89" s="68"/>
      <c r="AC89" s="58"/>
      <c r="AD89" s="170">
        <v>752</v>
      </c>
      <c r="AE89" s="89">
        <f t="shared" si="61"/>
        <v>-752</v>
      </c>
      <c r="AF89" s="216">
        <f t="shared" si="62"/>
        <v>0</v>
      </c>
      <c r="AG89" s="147"/>
      <c r="AH89" s="148"/>
      <c r="AI89" s="148"/>
      <c r="AJ89" s="148"/>
      <c r="AK89" s="148"/>
      <c r="AL89" s="148"/>
      <c r="AM89" s="148"/>
      <c r="AN89" s="149"/>
      <c r="AO89" s="150"/>
      <c r="AP89" s="76"/>
      <c r="AQ89" s="76"/>
      <c r="AR89" s="128"/>
      <c r="AS89" s="108">
        <f t="shared" si="63"/>
        <v>1</v>
      </c>
      <c r="AT89" s="249">
        <f t="shared" si="64"/>
        <v>1</v>
      </c>
      <c r="AU89" s="249">
        <f t="shared" si="65"/>
        <v>0.57846153846153847</v>
      </c>
      <c r="AV89" s="249">
        <f t="shared" si="66"/>
        <v>0</v>
      </c>
    </row>
    <row r="90" spans="1:48" outlineLevel="1" x14ac:dyDescent="0.25">
      <c r="A90" s="4" t="s">
        <v>120</v>
      </c>
      <c r="B90" s="75" t="s">
        <v>16</v>
      </c>
      <c r="C90" s="25" t="s">
        <v>9</v>
      </c>
      <c r="D90" s="92">
        <v>1</v>
      </c>
      <c r="E90" s="110">
        <v>500</v>
      </c>
      <c r="F90" s="93">
        <f t="shared" si="89"/>
        <v>500</v>
      </c>
      <c r="G90" s="74">
        <f t="shared" si="71"/>
        <v>0</v>
      </c>
      <c r="H90" s="95">
        <f t="shared" si="53"/>
        <v>500</v>
      </c>
      <c r="I90" s="112"/>
      <c r="J90" s="57"/>
      <c r="K90" s="57"/>
      <c r="L90" s="57"/>
      <c r="M90" s="57">
        <v>500</v>
      </c>
      <c r="N90" s="57"/>
      <c r="O90" s="57"/>
      <c r="P90" s="68"/>
      <c r="Q90" s="58"/>
      <c r="R90" s="93">
        <v>500</v>
      </c>
      <c r="S90" s="74">
        <f t="shared" si="82"/>
        <v>0</v>
      </c>
      <c r="T90" s="95">
        <f t="shared" si="83"/>
        <v>500</v>
      </c>
      <c r="U90" s="112"/>
      <c r="V90" s="57"/>
      <c r="W90" s="57"/>
      <c r="X90" s="57"/>
      <c r="Y90" s="57">
        <v>500</v>
      </c>
      <c r="Z90" s="57"/>
      <c r="AA90" s="57"/>
      <c r="AB90" s="68"/>
      <c r="AC90" s="58"/>
      <c r="AD90" s="170">
        <f>P90*Q90</f>
        <v>0</v>
      </c>
      <c r="AE90" s="89">
        <f t="shared" si="61"/>
        <v>0</v>
      </c>
      <c r="AF90" s="216">
        <f t="shared" si="62"/>
        <v>0</v>
      </c>
      <c r="AG90" s="147"/>
      <c r="AH90" s="148"/>
      <c r="AI90" s="148"/>
      <c r="AJ90" s="148"/>
      <c r="AK90" s="148"/>
      <c r="AL90" s="148"/>
      <c r="AM90" s="148"/>
      <c r="AN90" s="149"/>
      <c r="AO90" s="150"/>
      <c r="AP90" s="76"/>
      <c r="AQ90" s="76"/>
      <c r="AR90" s="128"/>
      <c r="AS90" s="108">
        <f t="shared" si="63"/>
        <v>1</v>
      </c>
      <c r="AT90" s="249">
        <f t="shared" si="64"/>
        <v>1</v>
      </c>
      <c r="AU90" s="249">
        <f t="shared" si="65"/>
        <v>0</v>
      </c>
      <c r="AV90" s="249">
        <f t="shared" si="66"/>
        <v>0</v>
      </c>
    </row>
    <row r="91" spans="1:48" outlineLevel="1" x14ac:dyDescent="0.25">
      <c r="A91" s="4" t="s">
        <v>121</v>
      </c>
      <c r="B91" s="75" t="s">
        <v>17</v>
      </c>
      <c r="C91" s="25" t="s">
        <v>9</v>
      </c>
      <c r="D91" s="92">
        <v>1</v>
      </c>
      <c r="E91" s="110">
        <v>500</v>
      </c>
      <c r="F91" s="93">
        <f t="shared" si="89"/>
        <v>500</v>
      </c>
      <c r="G91" s="74">
        <f t="shared" si="71"/>
        <v>0</v>
      </c>
      <c r="H91" s="95">
        <f t="shared" si="53"/>
        <v>500</v>
      </c>
      <c r="I91" s="112">
        <v>500</v>
      </c>
      <c r="J91" s="57"/>
      <c r="K91" s="57"/>
      <c r="L91" s="57"/>
      <c r="M91" s="57"/>
      <c r="N91" s="57"/>
      <c r="O91" s="57"/>
      <c r="P91" s="68"/>
      <c r="Q91" s="58"/>
      <c r="R91" s="93">
        <v>500</v>
      </c>
      <c r="S91" s="74">
        <f t="shared" si="82"/>
        <v>0</v>
      </c>
      <c r="T91" s="95">
        <f t="shared" si="83"/>
        <v>500</v>
      </c>
      <c r="U91" s="112">
        <v>500</v>
      </c>
      <c r="V91" s="57"/>
      <c r="W91" s="57"/>
      <c r="X91" s="57"/>
      <c r="Y91" s="57"/>
      <c r="Z91" s="57"/>
      <c r="AA91" s="57"/>
      <c r="AB91" s="68"/>
      <c r="AC91" s="58"/>
      <c r="AD91" s="170">
        <f>P91*Q91</f>
        <v>0</v>
      </c>
      <c r="AE91" s="89">
        <f t="shared" si="61"/>
        <v>0</v>
      </c>
      <c r="AF91" s="216">
        <f t="shared" si="62"/>
        <v>0</v>
      </c>
      <c r="AG91" s="147"/>
      <c r="AH91" s="148"/>
      <c r="AI91" s="148"/>
      <c r="AJ91" s="148"/>
      <c r="AK91" s="148"/>
      <c r="AL91" s="148"/>
      <c r="AM91" s="148"/>
      <c r="AN91" s="149"/>
      <c r="AO91" s="150"/>
      <c r="AP91" s="76"/>
      <c r="AQ91" s="76"/>
      <c r="AR91" s="128"/>
      <c r="AS91" s="108">
        <f t="shared" si="63"/>
        <v>1</v>
      </c>
      <c r="AT91" s="249">
        <f t="shared" si="64"/>
        <v>1</v>
      </c>
      <c r="AU91" s="249">
        <f t="shared" si="65"/>
        <v>0</v>
      </c>
      <c r="AV91" s="249">
        <f t="shared" si="66"/>
        <v>0</v>
      </c>
    </row>
    <row r="92" spans="1:48" outlineLevel="1" x14ac:dyDescent="0.25">
      <c r="A92" s="4" t="s">
        <v>122</v>
      </c>
      <c r="B92" s="75" t="s">
        <v>18</v>
      </c>
      <c r="C92" s="25" t="s">
        <v>694</v>
      </c>
      <c r="D92" s="92">
        <v>1</v>
      </c>
      <c r="E92" s="110">
        <v>750</v>
      </c>
      <c r="F92" s="93">
        <f t="shared" si="89"/>
        <v>750</v>
      </c>
      <c r="G92" s="74">
        <f t="shared" si="71"/>
        <v>0</v>
      </c>
      <c r="H92" s="95">
        <f t="shared" si="53"/>
        <v>750</v>
      </c>
      <c r="I92" s="112"/>
      <c r="J92" s="57"/>
      <c r="K92" s="57">
        <v>500</v>
      </c>
      <c r="L92" s="57">
        <v>250</v>
      </c>
      <c r="M92" s="57"/>
      <c r="N92" s="57"/>
      <c r="O92" s="57"/>
      <c r="P92" s="68"/>
      <c r="Q92" s="58"/>
      <c r="R92" s="93">
        <v>750</v>
      </c>
      <c r="S92" s="74">
        <f t="shared" si="82"/>
        <v>0</v>
      </c>
      <c r="T92" s="95">
        <f t="shared" si="83"/>
        <v>750</v>
      </c>
      <c r="U92" s="112"/>
      <c r="V92" s="57"/>
      <c r="W92" s="57">
        <v>500</v>
      </c>
      <c r="X92" s="57">
        <v>250</v>
      </c>
      <c r="Y92" s="57"/>
      <c r="Z92" s="57"/>
      <c r="AA92" s="57"/>
      <c r="AB92" s="68"/>
      <c r="AC92" s="58"/>
      <c r="AD92" s="170">
        <f>P92*Q92</f>
        <v>0</v>
      </c>
      <c r="AE92" s="89">
        <f t="shared" si="61"/>
        <v>0</v>
      </c>
      <c r="AF92" s="216">
        <f t="shared" si="62"/>
        <v>0</v>
      </c>
      <c r="AG92" s="147"/>
      <c r="AH92" s="148"/>
      <c r="AI92" s="148"/>
      <c r="AJ92" s="148"/>
      <c r="AK92" s="148"/>
      <c r="AL92" s="148"/>
      <c r="AM92" s="148"/>
      <c r="AN92" s="149"/>
      <c r="AO92" s="150"/>
      <c r="AP92" s="76"/>
      <c r="AQ92" s="76"/>
      <c r="AR92" s="128"/>
      <c r="AS92" s="108">
        <f t="shared" si="63"/>
        <v>1</v>
      </c>
      <c r="AT92" s="249">
        <f t="shared" si="64"/>
        <v>1</v>
      </c>
      <c r="AU92" s="249">
        <f t="shared" si="65"/>
        <v>0</v>
      </c>
      <c r="AV92" s="249">
        <f t="shared" si="66"/>
        <v>0</v>
      </c>
    </row>
    <row r="93" spans="1:48" outlineLevel="1" x14ac:dyDescent="0.25">
      <c r="A93" s="4" t="s">
        <v>1040</v>
      </c>
      <c r="B93" s="75" t="s">
        <v>19</v>
      </c>
      <c r="C93" s="25"/>
      <c r="D93" s="92">
        <v>1</v>
      </c>
      <c r="E93" s="110">
        <v>100</v>
      </c>
      <c r="F93" s="93">
        <f t="shared" si="89"/>
        <v>100</v>
      </c>
      <c r="G93" s="74">
        <f t="shared" si="71"/>
        <v>0</v>
      </c>
      <c r="H93" s="95">
        <f t="shared" si="53"/>
        <v>100</v>
      </c>
      <c r="I93" s="112">
        <v>100</v>
      </c>
      <c r="J93" s="57"/>
      <c r="K93" s="57"/>
      <c r="L93" s="57"/>
      <c r="M93" s="57"/>
      <c r="N93" s="57"/>
      <c r="O93" s="57"/>
      <c r="P93" s="68"/>
      <c r="Q93" s="58"/>
      <c r="R93" s="93">
        <v>100</v>
      </c>
      <c r="S93" s="74">
        <f t="shared" si="82"/>
        <v>0</v>
      </c>
      <c r="T93" s="95">
        <f t="shared" si="83"/>
        <v>100</v>
      </c>
      <c r="U93" s="112">
        <v>100</v>
      </c>
      <c r="V93" s="57"/>
      <c r="W93" s="57"/>
      <c r="X93" s="57"/>
      <c r="Y93" s="57"/>
      <c r="Z93" s="57"/>
      <c r="AA93" s="57"/>
      <c r="AB93" s="68"/>
      <c r="AC93" s="58"/>
      <c r="AD93" s="170">
        <f>P93*Q93</f>
        <v>0</v>
      </c>
      <c r="AE93" s="89">
        <f t="shared" si="61"/>
        <v>0</v>
      </c>
      <c r="AF93" s="216">
        <f t="shared" si="62"/>
        <v>0</v>
      </c>
      <c r="AG93" s="147"/>
      <c r="AH93" s="148"/>
      <c r="AI93" s="148"/>
      <c r="AJ93" s="148"/>
      <c r="AK93" s="148"/>
      <c r="AL93" s="148"/>
      <c r="AM93" s="148"/>
      <c r="AN93" s="149"/>
      <c r="AO93" s="150"/>
      <c r="AP93" s="76"/>
      <c r="AQ93" s="76"/>
      <c r="AR93" s="128"/>
      <c r="AS93" s="108">
        <f t="shared" si="63"/>
        <v>1</v>
      </c>
      <c r="AT93" s="249">
        <f t="shared" si="64"/>
        <v>1</v>
      </c>
      <c r="AU93" s="249">
        <f t="shared" si="65"/>
        <v>0</v>
      </c>
      <c r="AV93" s="249">
        <f t="shared" si="66"/>
        <v>0</v>
      </c>
    </row>
    <row r="94" spans="1:48" s="280" customFormat="1" ht="15.75" x14ac:dyDescent="0.25">
      <c r="A94" s="270" t="s">
        <v>123</v>
      </c>
      <c r="B94" s="271" t="s">
        <v>697</v>
      </c>
      <c r="C94" s="272"/>
      <c r="D94" s="273"/>
      <c r="E94" s="274"/>
      <c r="F94" s="264">
        <f>SUM(F95:F100)</f>
        <v>4900</v>
      </c>
      <c r="G94" s="265">
        <f t="shared" si="71"/>
        <v>0</v>
      </c>
      <c r="H94" s="275">
        <f t="shared" si="53"/>
        <v>4900</v>
      </c>
      <c r="I94" s="267">
        <f>SUM(I95:I100)</f>
        <v>3050</v>
      </c>
      <c r="J94" s="268">
        <f t="shared" ref="J94:Q94" si="90">SUM(J95:J100)</f>
        <v>0</v>
      </c>
      <c r="K94" s="268">
        <f t="shared" si="90"/>
        <v>0</v>
      </c>
      <c r="L94" s="268">
        <f t="shared" si="90"/>
        <v>1350</v>
      </c>
      <c r="M94" s="268">
        <f t="shared" si="90"/>
        <v>0</v>
      </c>
      <c r="N94" s="268">
        <f t="shared" si="90"/>
        <v>0</v>
      </c>
      <c r="O94" s="268">
        <f t="shared" si="90"/>
        <v>0</v>
      </c>
      <c r="P94" s="268">
        <f t="shared" si="90"/>
        <v>0</v>
      </c>
      <c r="Q94" s="269">
        <f t="shared" si="90"/>
        <v>500</v>
      </c>
      <c r="R94" s="264">
        <f>SUM(R95:R100)</f>
        <v>4900</v>
      </c>
      <c r="S94" s="265">
        <f t="shared" si="82"/>
        <v>0</v>
      </c>
      <c r="T94" s="275">
        <f t="shared" si="83"/>
        <v>4900</v>
      </c>
      <c r="U94" s="267">
        <f>SUM(U95:U100)</f>
        <v>3050</v>
      </c>
      <c r="V94" s="268">
        <f t="shared" ref="V94:AC94" si="91">SUM(V95:V100)</f>
        <v>0</v>
      </c>
      <c r="W94" s="268">
        <f t="shared" si="91"/>
        <v>0</v>
      </c>
      <c r="X94" s="268">
        <f t="shared" si="91"/>
        <v>1350</v>
      </c>
      <c r="Y94" s="268">
        <f t="shared" si="91"/>
        <v>0</v>
      </c>
      <c r="Z94" s="268">
        <f t="shared" si="91"/>
        <v>0</v>
      </c>
      <c r="AA94" s="268">
        <f t="shared" si="91"/>
        <v>0</v>
      </c>
      <c r="AB94" s="268">
        <f t="shared" si="91"/>
        <v>0</v>
      </c>
      <c r="AC94" s="269">
        <f t="shared" si="91"/>
        <v>500</v>
      </c>
      <c r="AD94" s="264">
        <f>SUM(AD95:AD100)</f>
        <v>1370</v>
      </c>
      <c r="AE94" s="265">
        <f t="shared" si="61"/>
        <v>-1370</v>
      </c>
      <c r="AF94" s="266">
        <f t="shared" si="62"/>
        <v>0</v>
      </c>
      <c r="AG94" s="267">
        <f>SUM(AG95:AG100)</f>
        <v>0</v>
      </c>
      <c r="AH94" s="268">
        <f t="shared" ref="AH94:AO94" si="92">SUM(AH95:AH100)</f>
        <v>0</v>
      </c>
      <c r="AI94" s="268">
        <f t="shared" si="92"/>
        <v>0</v>
      </c>
      <c r="AJ94" s="268">
        <f t="shared" si="92"/>
        <v>0</v>
      </c>
      <c r="AK94" s="268">
        <f t="shared" si="92"/>
        <v>0</v>
      </c>
      <c r="AL94" s="268">
        <f t="shared" si="92"/>
        <v>0</v>
      </c>
      <c r="AM94" s="268">
        <f t="shared" si="92"/>
        <v>0</v>
      </c>
      <c r="AN94" s="268">
        <f t="shared" si="92"/>
        <v>0</v>
      </c>
      <c r="AO94" s="269">
        <f t="shared" si="92"/>
        <v>0</v>
      </c>
      <c r="AP94" s="276">
        <v>5000</v>
      </c>
      <c r="AQ94" s="276">
        <f>3360+843.97</f>
        <v>4203.97</v>
      </c>
      <c r="AR94" s="277">
        <f>AQ94*100/AP94</f>
        <v>84.079400000000007</v>
      </c>
      <c r="AS94" s="278">
        <f t="shared" si="63"/>
        <v>1</v>
      </c>
      <c r="AT94" s="279">
        <f t="shared" si="64"/>
        <v>1</v>
      </c>
      <c r="AU94" s="279">
        <f t="shared" si="65"/>
        <v>0.2795918367346939</v>
      </c>
      <c r="AV94" s="279">
        <f t="shared" si="66"/>
        <v>0</v>
      </c>
    </row>
    <row r="95" spans="1:48" outlineLevel="1" x14ac:dyDescent="0.25">
      <c r="A95" s="4" t="s">
        <v>124</v>
      </c>
      <c r="B95" s="75" t="s">
        <v>21</v>
      </c>
      <c r="C95" s="25"/>
      <c r="D95" s="92">
        <v>1</v>
      </c>
      <c r="E95" s="110">
        <v>3300</v>
      </c>
      <c r="F95" s="93">
        <f t="shared" ref="F95:F100" si="93">D95*E95</f>
        <v>3300</v>
      </c>
      <c r="G95" s="74">
        <f t="shared" si="71"/>
        <v>0</v>
      </c>
      <c r="H95" s="95">
        <f t="shared" si="53"/>
        <v>3300</v>
      </c>
      <c r="I95" s="112">
        <v>1950</v>
      </c>
      <c r="J95" s="57"/>
      <c r="K95" s="57"/>
      <c r="L95" s="57">
        <v>1350</v>
      </c>
      <c r="M95" s="57"/>
      <c r="N95" s="57"/>
      <c r="O95" s="57"/>
      <c r="P95" s="68"/>
      <c r="Q95" s="58"/>
      <c r="R95" s="93">
        <v>3300</v>
      </c>
      <c r="S95" s="74">
        <f t="shared" si="82"/>
        <v>0</v>
      </c>
      <c r="T95" s="95">
        <f t="shared" si="83"/>
        <v>3300</v>
      </c>
      <c r="U95" s="112">
        <v>1950</v>
      </c>
      <c r="V95" s="57"/>
      <c r="W95" s="57"/>
      <c r="X95" s="57">
        <v>1350</v>
      </c>
      <c r="Y95" s="57"/>
      <c r="Z95" s="57"/>
      <c r="AA95" s="57"/>
      <c r="AB95" s="68"/>
      <c r="AC95" s="58"/>
      <c r="AD95" s="170">
        <v>1370</v>
      </c>
      <c r="AE95" s="89">
        <f t="shared" si="61"/>
        <v>-1370</v>
      </c>
      <c r="AF95" s="216">
        <f t="shared" si="62"/>
        <v>0</v>
      </c>
      <c r="AG95" s="147"/>
      <c r="AH95" s="148"/>
      <c r="AI95" s="148"/>
      <c r="AJ95" s="148"/>
      <c r="AK95" s="148"/>
      <c r="AL95" s="148"/>
      <c r="AM95" s="148"/>
      <c r="AN95" s="149"/>
      <c r="AO95" s="150"/>
      <c r="AP95" s="76"/>
      <c r="AQ95" s="76"/>
      <c r="AR95" s="128"/>
      <c r="AS95" s="108">
        <f t="shared" si="63"/>
        <v>1</v>
      </c>
      <c r="AT95" s="249">
        <f t="shared" si="64"/>
        <v>1</v>
      </c>
      <c r="AU95" s="249">
        <f t="shared" si="65"/>
        <v>0.41515151515151516</v>
      </c>
      <c r="AV95" s="249">
        <f t="shared" si="66"/>
        <v>0</v>
      </c>
    </row>
    <row r="96" spans="1:48" outlineLevel="1" x14ac:dyDescent="0.25">
      <c r="A96" s="4" t="s">
        <v>125</v>
      </c>
      <c r="B96" s="75" t="s">
        <v>22</v>
      </c>
      <c r="C96" s="25" t="s">
        <v>857</v>
      </c>
      <c r="D96" s="92">
        <v>0</v>
      </c>
      <c r="E96" s="110">
        <v>0</v>
      </c>
      <c r="F96" s="93">
        <f t="shared" si="93"/>
        <v>0</v>
      </c>
      <c r="G96" s="74">
        <f t="shared" si="71"/>
        <v>0</v>
      </c>
      <c r="H96" s="95">
        <f t="shared" si="53"/>
        <v>0</v>
      </c>
      <c r="I96" s="112"/>
      <c r="J96" s="57"/>
      <c r="K96" s="57"/>
      <c r="L96" s="57"/>
      <c r="M96" s="57"/>
      <c r="N96" s="57"/>
      <c r="O96" s="57"/>
      <c r="P96" s="68"/>
      <c r="Q96" s="58"/>
      <c r="R96" s="93">
        <v>0</v>
      </c>
      <c r="S96" s="74">
        <f t="shared" si="82"/>
        <v>0</v>
      </c>
      <c r="T96" s="95">
        <f t="shared" si="83"/>
        <v>0</v>
      </c>
      <c r="U96" s="112"/>
      <c r="V96" s="57"/>
      <c r="W96" s="57"/>
      <c r="X96" s="57"/>
      <c r="Y96" s="57"/>
      <c r="Z96" s="57"/>
      <c r="AA96" s="57"/>
      <c r="AB96" s="68"/>
      <c r="AC96" s="58"/>
      <c r="AD96" s="170">
        <f>P96*Q96</f>
        <v>0</v>
      </c>
      <c r="AE96" s="89">
        <f t="shared" si="61"/>
        <v>0</v>
      </c>
      <c r="AF96" s="216">
        <f t="shared" si="62"/>
        <v>0</v>
      </c>
      <c r="AG96" s="147"/>
      <c r="AH96" s="148"/>
      <c r="AI96" s="148"/>
      <c r="AJ96" s="148"/>
      <c r="AK96" s="148"/>
      <c r="AL96" s="148"/>
      <c r="AM96" s="148"/>
      <c r="AN96" s="149"/>
      <c r="AO96" s="150"/>
      <c r="AP96" s="76"/>
      <c r="AQ96" s="76"/>
      <c r="AR96" s="128"/>
      <c r="AS96" s="108"/>
      <c r="AT96" s="249"/>
      <c r="AU96" s="249"/>
      <c r="AV96" s="249"/>
    </row>
    <row r="97" spans="1:48" outlineLevel="1" x14ac:dyDescent="0.25">
      <c r="A97" s="4" t="s">
        <v>126</v>
      </c>
      <c r="B97" s="75" t="s">
        <v>23</v>
      </c>
      <c r="C97" s="25"/>
      <c r="D97" s="92">
        <v>1</v>
      </c>
      <c r="E97" s="110">
        <v>500</v>
      </c>
      <c r="F97" s="93">
        <f t="shared" si="93"/>
        <v>500</v>
      </c>
      <c r="G97" s="74">
        <f t="shared" si="71"/>
        <v>0</v>
      </c>
      <c r="H97" s="95">
        <f t="shared" si="53"/>
        <v>500</v>
      </c>
      <c r="I97" s="112">
        <v>0</v>
      </c>
      <c r="J97" s="57"/>
      <c r="K97" s="57"/>
      <c r="L97" s="57"/>
      <c r="M97" s="57"/>
      <c r="N97" s="57"/>
      <c r="O97" s="57"/>
      <c r="P97" s="68"/>
      <c r="Q97" s="58">
        <v>500</v>
      </c>
      <c r="R97" s="93">
        <v>500</v>
      </c>
      <c r="S97" s="74">
        <f t="shared" si="82"/>
        <v>0</v>
      </c>
      <c r="T97" s="95">
        <f t="shared" si="83"/>
        <v>500</v>
      </c>
      <c r="U97" s="112">
        <v>0</v>
      </c>
      <c r="V97" s="57"/>
      <c r="W97" s="57"/>
      <c r="X97" s="57"/>
      <c r="Y97" s="57"/>
      <c r="Z97" s="57"/>
      <c r="AA97" s="57"/>
      <c r="AB97" s="68"/>
      <c r="AC97" s="58">
        <v>500</v>
      </c>
      <c r="AD97" s="170">
        <f>P97*Q97</f>
        <v>0</v>
      </c>
      <c r="AE97" s="89">
        <f t="shared" si="61"/>
        <v>0</v>
      </c>
      <c r="AF97" s="216">
        <f t="shared" si="62"/>
        <v>0</v>
      </c>
      <c r="AG97" s="147"/>
      <c r="AH97" s="148"/>
      <c r="AI97" s="148"/>
      <c r="AJ97" s="148"/>
      <c r="AK97" s="148"/>
      <c r="AL97" s="148"/>
      <c r="AM97" s="148"/>
      <c r="AN97" s="149"/>
      <c r="AO97" s="150"/>
      <c r="AP97" s="76"/>
      <c r="AQ97" s="76"/>
      <c r="AR97" s="128"/>
      <c r="AS97" s="108">
        <f t="shared" si="63"/>
        <v>1</v>
      </c>
      <c r="AT97" s="249">
        <f t="shared" si="64"/>
        <v>1</v>
      </c>
      <c r="AU97" s="249">
        <f t="shared" si="65"/>
        <v>0</v>
      </c>
      <c r="AV97" s="249">
        <f t="shared" si="66"/>
        <v>0</v>
      </c>
    </row>
    <row r="98" spans="1:48" outlineLevel="1" x14ac:dyDescent="0.25">
      <c r="A98" s="4" t="s">
        <v>127</v>
      </c>
      <c r="B98" s="75" t="s">
        <v>24</v>
      </c>
      <c r="C98" s="25"/>
      <c r="D98" s="92">
        <v>1</v>
      </c>
      <c r="E98" s="110">
        <v>500</v>
      </c>
      <c r="F98" s="93">
        <f t="shared" si="93"/>
        <v>500</v>
      </c>
      <c r="G98" s="74">
        <f t="shared" si="71"/>
        <v>0</v>
      </c>
      <c r="H98" s="95">
        <f t="shared" si="53"/>
        <v>500</v>
      </c>
      <c r="I98" s="112">
        <v>500</v>
      </c>
      <c r="J98" s="57"/>
      <c r="K98" s="57"/>
      <c r="L98" s="57"/>
      <c r="M98" s="57"/>
      <c r="N98" s="57"/>
      <c r="O98" s="57"/>
      <c r="P98" s="68"/>
      <c r="Q98" s="58"/>
      <c r="R98" s="93">
        <v>500</v>
      </c>
      <c r="S98" s="74">
        <f t="shared" si="82"/>
        <v>0</v>
      </c>
      <c r="T98" s="95">
        <f t="shared" si="83"/>
        <v>500</v>
      </c>
      <c r="U98" s="112">
        <v>500</v>
      </c>
      <c r="V98" s="57"/>
      <c r="W98" s="57"/>
      <c r="X98" s="57"/>
      <c r="Y98" s="57"/>
      <c r="Z98" s="57"/>
      <c r="AA98" s="57"/>
      <c r="AB98" s="68"/>
      <c r="AC98" s="58"/>
      <c r="AD98" s="170">
        <f>P98*Q98</f>
        <v>0</v>
      </c>
      <c r="AE98" s="89">
        <f t="shared" si="61"/>
        <v>0</v>
      </c>
      <c r="AF98" s="216">
        <f t="shared" si="62"/>
        <v>0</v>
      </c>
      <c r="AG98" s="147"/>
      <c r="AH98" s="148"/>
      <c r="AI98" s="148"/>
      <c r="AJ98" s="148"/>
      <c r="AK98" s="148"/>
      <c r="AL98" s="148"/>
      <c r="AM98" s="148"/>
      <c r="AN98" s="149"/>
      <c r="AO98" s="150"/>
      <c r="AP98" s="76"/>
      <c r="AQ98" s="76"/>
      <c r="AR98" s="128"/>
      <c r="AS98" s="108">
        <f t="shared" si="63"/>
        <v>1</v>
      </c>
      <c r="AT98" s="249">
        <f t="shared" si="64"/>
        <v>1</v>
      </c>
      <c r="AU98" s="249">
        <f t="shared" si="65"/>
        <v>0</v>
      </c>
      <c r="AV98" s="249">
        <f t="shared" si="66"/>
        <v>0</v>
      </c>
    </row>
    <row r="99" spans="1:48" outlineLevel="1" x14ac:dyDescent="0.25">
      <c r="A99" s="4" t="s">
        <v>128</v>
      </c>
      <c r="B99" s="75" t="s">
        <v>25</v>
      </c>
      <c r="C99" s="25"/>
      <c r="D99" s="92">
        <v>1</v>
      </c>
      <c r="E99" s="110">
        <v>500</v>
      </c>
      <c r="F99" s="93">
        <f t="shared" si="93"/>
        <v>500</v>
      </c>
      <c r="G99" s="74">
        <f t="shared" si="71"/>
        <v>0</v>
      </c>
      <c r="H99" s="95">
        <f t="shared" si="53"/>
        <v>500</v>
      </c>
      <c r="I99" s="112">
        <v>500</v>
      </c>
      <c r="J99" s="57"/>
      <c r="K99" s="57"/>
      <c r="L99" s="57"/>
      <c r="M99" s="57"/>
      <c r="N99" s="57"/>
      <c r="O99" s="57"/>
      <c r="P99" s="68"/>
      <c r="Q99" s="58"/>
      <c r="R99" s="93">
        <v>500</v>
      </c>
      <c r="S99" s="74">
        <f t="shared" si="82"/>
        <v>0</v>
      </c>
      <c r="T99" s="95">
        <f t="shared" si="83"/>
        <v>500</v>
      </c>
      <c r="U99" s="112">
        <v>500</v>
      </c>
      <c r="V99" s="57"/>
      <c r="W99" s="57"/>
      <c r="X99" s="57"/>
      <c r="Y99" s="57"/>
      <c r="Z99" s="57"/>
      <c r="AA99" s="57"/>
      <c r="AB99" s="68"/>
      <c r="AC99" s="58"/>
      <c r="AD99" s="170">
        <f>P99*Q99</f>
        <v>0</v>
      </c>
      <c r="AE99" s="89">
        <f t="shared" si="61"/>
        <v>0</v>
      </c>
      <c r="AF99" s="216">
        <f t="shared" si="62"/>
        <v>0</v>
      </c>
      <c r="AG99" s="147"/>
      <c r="AH99" s="148"/>
      <c r="AI99" s="148"/>
      <c r="AJ99" s="148"/>
      <c r="AK99" s="148"/>
      <c r="AL99" s="148"/>
      <c r="AM99" s="148"/>
      <c r="AN99" s="149"/>
      <c r="AO99" s="150"/>
      <c r="AP99" s="76"/>
      <c r="AQ99" s="76"/>
      <c r="AR99" s="128"/>
      <c r="AS99" s="108">
        <f t="shared" si="63"/>
        <v>1</v>
      </c>
      <c r="AT99" s="249">
        <f t="shared" si="64"/>
        <v>1</v>
      </c>
      <c r="AU99" s="249">
        <f t="shared" si="65"/>
        <v>0</v>
      </c>
      <c r="AV99" s="249">
        <f t="shared" si="66"/>
        <v>0</v>
      </c>
    </row>
    <row r="100" spans="1:48" outlineLevel="1" x14ac:dyDescent="0.25">
      <c r="A100" s="4" t="s">
        <v>1041</v>
      </c>
      <c r="B100" s="75" t="s">
        <v>15</v>
      </c>
      <c r="C100" s="25"/>
      <c r="D100" s="92">
        <v>1</v>
      </c>
      <c r="E100" s="110">
        <v>100</v>
      </c>
      <c r="F100" s="93">
        <f t="shared" si="93"/>
        <v>100</v>
      </c>
      <c r="G100" s="74">
        <f t="shared" si="71"/>
        <v>0</v>
      </c>
      <c r="H100" s="95">
        <f t="shared" si="53"/>
        <v>100</v>
      </c>
      <c r="I100" s="112">
        <v>100</v>
      </c>
      <c r="J100" s="57"/>
      <c r="K100" s="57"/>
      <c r="L100" s="57"/>
      <c r="M100" s="57"/>
      <c r="N100" s="57"/>
      <c r="O100" s="57"/>
      <c r="P100" s="68"/>
      <c r="Q100" s="58"/>
      <c r="R100" s="93">
        <v>100</v>
      </c>
      <c r="S100" s="74">
        <f t="shared" si="82"/>
        <v>0</v>
      </c>
      <c r="T100" s="95">
        <f t="shared" si="83"/>
        <v>100</v>
      </c>
      <c r="U100" s="112">
        <v>100</v>
      </c>
      <c r="V100" s="57"/>
      <c r="W100" s="57"/>
      <c r="X100" s="57"/>
      <c r="Y100" s="57"/>
      <c r="Z100" s="57"/>
      <c r="AA100" s="57"/>
      <c r="AB100" s="68"/>
      <c r="AC100" s="58"/>
      <c r="AD100" s="170">
        <f>P100*Q100</f>
        <v>0</v>
      </c>
      <c r="AE100" s="89">
        <f t="shared" si="61"/>
        <v>0</v>
      </c>
      <c r="AF100" s="216">
        <f t="shared" si="62"/>
        <v>0</v>
      </c>
      <c r="AG100" s="147"/>
      <c r="AH100" s="148"/>
      <c r="AI100" s="148"/>
      <c r="AJ100" s="148"/>
      <c r="AK100" s="148"/>
      <c r="AL100" s="148"/>
      <c r="AM100" s="148"/>
      <c r="AN100" s="149"/>
      <c r="AO100" s="150"/>
      <c r="AP100" s="76"/>
      <c r="AQ100" s="76"/>
      <c r="AR100" s="128"/>
      <c r="AS100" s="108">
        <f t="shared" si="63"/>
        <v>1</v>
      </c>
      <c r="AT100" s="249">
        <f t="shared" si="64"/>
        <v>1</v>
      </c>
      <c r="AU100" s="249">
        <f t="shared" si="65"/>
        <v>0</v>
      </c>
      <c r="AV100" s="249">
        <f t="shared" si="66"/>
        <v>0</v>
      </c>
    </row>
    <row r="101" spans="1:48" s="280" customFormat="1" ht="15.75" x14ac:dyDescent="0.25">
      <c r="A101" s="270" t="s">
        <v>129</v>
      </c>
      <c r="B101" s="271" t="s">
        <v>698</v>
      </c>
      <c r="C101" s="272"/>
      <c r="D101" s="273"/>
      <c r="E101" s="274"/>
      <c r="F101" s="264">
        <f>SUM(F102:F105)</f>
        <v>1100</v>
      </c>
      <c r="G101" s="265">
        <f t="shared" si="71"/>
        <v>0</v>
      </c>
      <c r="H101" s="275">
        <f t="shared" si="53"/>
        <v>1100</v>
      </c>
      <c r="I101" s="267">
        <f t="shared" ref="I101:Q101" si="94">SUM(I102:I105)</f>
        <v>1100</v>
      </c>
      <c r="J101" s="268">
        <f t="shared" si="94"/>
        <v>0</v>
      </c>
      <c r="K101" s="268">
        <f t="shared" si="94"/>
        <v>0</v>
      </c>
      <c r="L101" s="268">
        <f t="shared" si="94"/>
        <v>0</v>
      </c>
      <c r="M101" s="268">
        <f t="shared" si="94"/>
        <v>0</v>
      </c>
      <c r="N101" s="268">
        <f t="shared" si="94"/>
        <v>0</v>
      </c>
      <c r="O101" s="268">
        <f t="shared" si="94"/>
        <v>0</v>
      </c>
      <c r="P101" s="268">
        <f t="shared" si="94"/>
        <v>0</v>
      </c>
      <c r="Q101" s="269">
        <f t="shared" si="94"/>
        <v>0</v>
      </c>
      <c r="R101" s="264">
        <f>SUM(R102:R105)</f>
        <v>1100</v>
      </c>
      <c r="S101" s="265">
        <f t="shared" si="82"/>
        <v>0</v>
      </c>
      <c r="T101" s="275">
        <f t="shared" si="83"/>
        <v>1100</v>
      </c>
      <c r="U101" s="267">
        <f t="shared" ref="U101:AC101" si="95">SUM(U102:U105)</f>
        <v>1100</v>
      </c>
      <c r="V101" s="268">
        <f t="shared" si="95"/>
        <v>0</v>
      </c>
      <c r="W101" s="268">
        <f t="shared" si="95"/>
        <v>0</v>
      </c>
      <c r="X101" s="268">
        <f t="shared" si="95"/>
        <v>0</v>
      </c>
      <c r="Y101" s="268">
        <f t="shared" si="95"/>
        <v>0</v>
      </c>
      <c r="Z101" s="268">
        <f t="shared" si="95"/>
        <v>0</v>
      </c>
      <c r="AA101" s="268">
        <f t="shared" si="95"/>
        <v>0</v>
      </c>
      <c r="AB101" s="268">
        <f t="shared" si="95"/>
        <v>0</v>
      </c>
      <c r="AC101" s="269">
        <f t="shared" si="95"/>
        <v>0</v>
      </c>
      <c r="AD101" s="264">
        <f>SUM(AD102:AD105)</f>
        <v>300</v>
      </c>
      <c r="AE101" s="265">
        <f t="shared" si="61"/>
        <v>-300</v>
      </c>
      <c r="AF101" s="266">
        <f t="shared" si="62"/>
        <v>0</v>
      </c>
      <c r="AG101" s="267">
        <f t="shared" ref="AG101:AO101" si="96">SUM(AG102:AG105)</f>
        <v>0</v>
      </c>
      <c r="AH101" s="268">
        <f t="shared" si="96"/>
        <v>0</v>
      </c>
      <c r="AI101" s="268">
        <f t="shared" si="96"/>
        <v>0</v>
      </c>
      <c r="AJ101" s="268">
        <f t="shared" si="96"/>
        <v>0</v>
      </c>
      <c r="AK101" s="268">
        <f t="shared" si="96"/>
        <v>0</v>
      </c>
      <c r="AL101" s="268">
        <f t="shared" si="96"/>
        <v>0</v>
      </c>
      <c r="AM101" s="268">
        <f t="shared" si="96"/>
        <v>0</v>
      </c>
      <c r="AN101" s="268">
        <f t="shared" si="96"/>
        <v>0</v>
      </c>
      <c r="AO101" s="269">
        <f t="shared" si="96"/>
        <v>0</v>
      </c>
      <c r="AP101" s="276">
        <v>1000</v>
      </c>
      <c r="AQ101" s="276">
        <v>755</v>
      </c>
      <c r="AR101" s="277">
        <f>AQ101*100/AP101</f>
        <v>75.5</v>
      </c>
      <c r="AS101" s="278">
        <f t="shared" si="63"/>
        <v>1</v>
      </c>
      <c r="AT101" s="279">
        <f t="shared" si="64"/>
        <v>1</v>
      </c>
      <c r="AU101" s="279">
        <f t="shared" si="65"/>
        <v>0.27272727272727271</v>
      </c>
      <c r="AV101" s="279">
        <f t="shared" si="66"/>
        <v>0</v>
      </c>
    </row>
    <row r="102" spans="1:48" outlineLevel="1" x14ac:dyDescent="0.25">
      <c r="A102" s="4" t="s">
        <v>130</v>
      </c>
      <c r="B102" s="75" t="s">
        <v>27</v>
      </c>
      <c r="C102" s="25" t="s">
        <v>107</v>
      </c>
      <c r="D102" s="92">
        <v>0</v>
      </c>
      <c r="E102" s="110">
        <v>0</v>
      </c>
      <c r="F102" s="93">
        <f>D102*E102</f>
        <v>0</v>
      </c>
      <c r="G102" s="74">
        <f t="shared" si="71"/>
        <v>0</v>
      </c>
      <c r="H102" s="95">
        <f t="shared" si="53"/>
        <v>0</v>
      </c>
      <c r="I102" s="112"/>
      <c r="J102" s="57"/>
      <c r="K102" s="57"/>
      <c r="L102" s="57"/>
      <c r="M102" s="57"/>
      <c r="N102" s="57"/>
      <c r="O102" s="57"/>
      <c r="P102" s="68"/>
      <c r="Q102" s="58"/>
      <c r="R102" s="93">
        <v>0</v>
      </c>
      <c r="S102" s="74">
        <f t="shared" si="82"/>
        <v>0</v>
      </c>
      <c r="T102" s="95">
        <f t="shared" si="83"/>
        <v>0</v>
      </c>
      <c r="U102" s="112"/>
      <c r="V102" s="57"/>
      <c r="W102" s="57"/>
      <c r="X102" s="57"/>
      <c r="Y102" s="57"/>
      <c r="Z102" s="57"/>
      <c r="AA102" s="57"/>
      <c r="AB102" s="68"/>
      <c r="AC102" s="58"/>
      <c r="AD102" s="170">
        <f>P102*Q102</f>
        <v>0</v>
      </c>
      <c r="AE102" s="89">
        <f t="shared" si="61"/>
        <v>0</v>
      </c>
      <c r="AF102" s="216">
        <f t="shared" si="62"/>
        <v>0</v>
      </c>
      <c r="AG102" s="147"/>
      <c r="AH102" s="148"/>
      <c r="AI102" s="148"/>
      <c r="AJ102" s="148"/>
      <c r="AK102" s="148"/>
      <c r="AL102" s="148"/>
      <c r="AM102" s="148"/>
      <c r="AN102" s="149"/>
      <c r="AO102" s="150"/>
      <c r="AP102" s="76"/>
      <c r="AQ102" s="76"/>
      <c r="AR102" s="128"/>
      <c r="AS102" s="108"/>
      <c r="AT102" s="249"/>
      <c r="AU102" s="249"/>
      <c r="AV102" s="249"/>
    </row>
    <row r="103" spans="1:48" outlineLevel="1" x14ac:dyDescent="0.25">
      <c r="A103" s="6" t="s">
        <v>131</v>
      </c>
      <c r="B103" s="75" t="s">
        <v>108</v>
      </c>
      <c r="C103" s="25" t="s">
        <v>973</v>
      </c>
      <c r="D103" s="92">
        <v>1</v>
      </c>
      <c r="E103" s="110">
        <v>500</v>
      </c>
      <c r="F103" s="93">
        <f>D103*E103</f>
        <v>500</v>
      </c>
      <c r="G103" s="74">
        <f t="shared" si="71"/>
        <v>0</v>
      </c>
      <c r="H103" s="95">
        <f t="shared" si="53"/>
        <v>500</v>
      </c>
      <c r="I103" s="112">
        <v>500</v>
      </c>
      <c r="J103" s="57"/>
      <c r="K103" s="57"/>
      <c r="L103" s="57"/>
      <c r="M103" s="57"/>
      <c r="N103" s="57"/>
      <c r="O103" s="57"/>
      <c r="P103" s="68"/>
      <c r="Q103" s="58"/>
      <c r="R103" s="93">
        <v>500</v>
      </c>
      <c r="S103" s="74">
        <f t="shared" si="82"/>
        <v>0</v>
      </c>
      <c r="T103" s="95">
        <f t="shared" si="83"/>
        <v>500</v>
      </c>
      <c r="U103" s="112">
        <v>500</v>
      </c>
      <c r="V103" s="57"/>
      <c r="W103" s="57"/>
      <c r="X103" s="57"/>
      <c r="Y103" s="57"/>
      <c r="Z103" s="57"/>
      <c r="AA103" s="57"/>
      <c r="AB103" s="68"/>
      <c r="AC103" s="58"/>
      <c r="AD103" s="170">
        <v>300</v>
      </c>
      <c r="AE103" s="89">
        <f t="shared" si="61"/>
        <v>-300</v>
      </c>
      <c r="AF103" s="216">
        <f t="shared" si="62"/>
        <v>0</v>
      </c>
      <c r="AG103" s="147"/>
      <c r="AH103" s="148"/>
      <c r="AI103" s="148"/>
      <c r="AJ103" s="148"/>
      <c r="AK103" s="148"/>
      <c r="AL103" s="148"/>
      <c r="AM103" s="148"/>
      <c r="AN103" s="149"/>
      <c r="AO103" s="150"/>
      <c r="AP103" s="76"/>
      <c r="AQ103" s="76"/>
      <c r="AR103" s="128"/>
      <c r="AS103" s="108">
        <f t="shared" si="63"/>
        <v>1</v>
      </c>
      <c r="AT103" s="249">
        <f t="shared" si="64"/>
        <v>1</v>
      </c>
      <c r="AU103" s="249">
        <f t="shared" si="65"/>
        <v>0.6</v>
      </c>
      <c r="AV103" s="249">
        <f t="shared" si="66"/>
        <v>0</v>
      </c>
    </row>
    <row r="104" spans="1:48" outlineLevel="1" x14ac:dyDescent="0.25">
      <c r="A104" s="4" t="s">
        <v>132</v>
      </c>
      <c r="B104" s="75" t="s">
        <v>109</v>
      </c>
      <c r="C104" s="25" t="s">
        <v>974</v>
      </c>
      <c r="D104" s="92">
        <v>1</v>
      </c>
      <c r="E104" s="110">
        <v>500</v>
      </c>
      <c r="F104" s="93">
        <f>D104*E104</f>
        <v>500</v>
      </c>
      <c r="G104" s="74">
        <f t="shared" si="71"/>
        <v>0</v>
      </c>
      <c r="H104" s="95">
        <f t="shared" si="53"/>
        <v>500</v>
      </c>
      <c r="I104" s="112">
        <v>500</v>
      </c>
      <c r="J104" s="57"/>
      <c r="K104" s="57"/>
      <c r="L104" s="57"/>
      <c r="M104" s="57"/>
      <c r="N104" s="57"/>
      <c r="O104" s="57"/>
      <c r="P104" s="68"/>
      <c r="Q104" s="58"/>
      <c r="R104" s="93">
        <v>500</v>
      </c>
      <c r="S104" s="74">
        <f t="shared" si="82"/>
        <v>0</v>
      </c>
      <c r="T104" s="95">
        <f t="shared" si="83"/>
        <v>500</v>
      </c>
      <c r="U104" s="112">
        <v>500</v>
      </c>
      <c r="V104" s="57"/>
      <c r="W104" s="57"/>
      <c r="X104" s="57"/>
      <c r="Y104" s="57"/>
      <c r="Z104" s="57"/>
      <c r="AA104" s="57"/>
      <c r="AB104" s="68"/>
      <c r="AC104" s="58"/>
      <c r="AD104" s="170">
        <f>P104*Q104</f>
        <v>0</v>
      </c>
      <c r="AE104" s="89">
        <f t="shared" si="61"/>
        <v>0</v>
      </c>
      <c r="AF104" s="216">
        <f t="shared" si="62"/>
        <v>0</v>
      </c>
      <c r="AG104" s="147"/>
      <c r="AH104" s="148"/>
      <c r="AI104" s="148"/>
      <c r="AJ104" s="148"/>
      <c r="AK104" s="148"/>
      <c r="AL104" s="148"/>
      <c r="AM104" s="148"/>
      <c r="AN104" s="149"/>
      <c r="AO104" s="150"/>
      <c r="AP104" s="76"/>
      <c r="AQ104" s="76"/>
      <c r="AR104" s="128"/>
      <c r="AS104" s="108">
        <f t="shared" si="63"/>
        <v>1</v>
      </c>
      <c r="AT104" s="249">
        <f t="shared" si="64"/>
        <v>1</v>
      </c>
      <c r="AU104" s="249">
        <f t="shared" si="65"/>
        <v>0</v>
      </c>
      <c r="AV104" s="249">
        <f t="shared" si="66"/>
        <v>0</v>
      </c>
    </row>
    <row r="105" spans="1:48" outlineLevel="1" x14ac:dyDescent="0.25">
      <c r="A105" s="4" t="s">
        <v>1042</v>
      </c>
      <c r="B105" s="75" t="s">
        <v>28</v>
      </c>
      <c r="C105" s="25"/>
      <c r="D105" s="92">
        <v>1</v>
      </c>
      <c r="E105" s="110">
        <v>100</v>
      </c>
      <c r="F105" s="93">
        <f>D105*E105</f>
        <v>100</v>
      </c>
      <c r="G105" s="74">
        <f t="shared" si="71"/>
        <v>0</v>
      </c>
      <c r="H105" s="95">
        <f t="shared" si="53"/>
        <v>100</v>
      </c>
      <c r="I105" s="112">
        <v>100</v>
      </c>
      <c r="J105" s="57"/>
      <c r="K105" s="57"/>
      <c r="L105" s="57"/>
      <c r="M105" s="57"/>
      <c r="N105" s="57"/>
      <c r="O105" s="57"/>
      <c r="P105" s="68"/>
      <c r="Q105" s="58"/>
      <c r="R105" s="93">
        <v>100</v>
      </c>
      <c r="S105" s="74">
        <f t="shared" si="82"/>
        <v>0</v>
      </c>
      <c r="T105" s="95">
        <f t="shared" si="83"/>
        <v>100</v>
      </c>
      <c r="U105" s="112">
        <v>100</v>
      </c>
      <c r="V105" s="57"/>
      <c r="W105" s="57"/>
      <c r="X105" s="57"/>
      <c r="Y105" s="57"/>
      <c r="Z105" s="57"/>
      <c r="AA105" s="57"/>
      <c r="AB105" s="68"/>
      <c r="AC105" s="58"/>
      <c r="AD105" s="170">
        <f>P105*Q105</f>
        <v>0</v>
      </c>
      <c r="AE105" s="89">
        <f t="shared" si="61"/>
        <v>0</v>
      </c>
      <c r="AF105" s="216">
        <f t="shared" si="62"/>
        <v>0</v>
      </c>
      <c r="AG105" s="147"/>
      <c r="AH105" s="148"/>
      <c r="AI105" s="148"/>
      <c r="AJ105" s="148"/>
      <c r="AK105" s="148"/>
      <c r="AL105" s="148"/>
      <c r="AM105" s="148"/>
      <c r="AN105" s="149"/>
      <c r="AO105" s="150"/>
      <c r="AP105" s="76"/>
      <c r="AQ105" s="76"/>
      <c r="AR105" s="128"/>
      <c r="AS105" s="108">
        <f t="shared" si="63"/>
        <v>1</v>
      </c>
      <c r="AT105" s="249">
        <f t="shared" si="64"/>
        <v>1</v>
      </c>
      <c r="AU105" s="249">
        <f t="shared" si="65"/>
        <v>0</v>
      </c>
      <c r="AV105" s="249">
        <f t="shared" si="66"/>
        <v>0</v>
      </c>
    </row>
    <row r="106" spans="1:48" s="280" customFormat="1" ht="15.75" x14ac:dyDescent="0.25">
      <c r="A106" s="270" t="s">
        <v>539</v>
      </c>
      <c r="B106" s="271" t="s">
        <v>577</v>
      </c>
      <c r="C106" s="272"/>
      <c r="D106" s="273"/>
      <c r="E106" s="274"/>
      <c r="F106" s="264">
        <f>SUM(F107:F109)</f>
        <v>400</v>
      </c>
      <c r="G106" s="265">
        <f t="shared" si="71"/>
        <v>0</v>
      </c>
      <c r="H106" s="275">
        <f t="shared" si="53"/>
        <v>400</v>
      </c>
      <c r="I106" s="267">
        <f t="shared" ref="I106:Q106" si="97">SUM(I107:I109)</f>
        <v>400</v>
      </c>
      <c r="J106" s="268">
        <f t="shared" si="97"/>
        <v>0</v>
      </c>
      <c r="K106" s="268">
        <f t="shared" si="97"/>
        <v>0</v>
      </c>
      <c r="L106" s="268">
        <f t="shared" si="97"/>
        <v>0</v>
      </c>
      <c r="M106" s="268">
        <f t="shared" si="97"/>
        <v>0</v>
      </c>
      <c r="N106" s="268">
        <f t="shared" si="97"/>
        <v>0</v>
      </c>
      <c r="O106" s="268">
        <f t="shared" si="97"/>
        <v>0</v>
      </c>
      <c r="P106" s="268">
        <f t="shared" si="97"/>
        <v>0</v>
      </c>
      <c r="Q106" s="269">
        <f t="shared" si="97"/>
        <v>0</v>
      </c>
      <c r="R106" s="264">
        <f>SUM(R107:R109)</f>
        <v>400</v>
      </c>
      <c r="S106" s="265">
        <f t="shared" si="82"/>
        <v>0</v>
      </c>
      <c r="T106" s="275">
        <f t="shared" si="83"/>
        <v>400</v>
      </c>
      <c r="U106" s="267">
        <f t="shared" ref="U106:AC106" si="98">SUM(U107:U109)</f>
        <v>400</v>
      </c>
      <c r="V106" s="268">
        <f t="shared" si="98"/>
        <v>0</v>
      </c>
      <c r="W106" s="268">
        <f t="shared" si="98"/>
        <v>0</v>
      </c>
      <c r="X106" s="268">
        <f t="shared" si="98"/>
        <v>0</v>
      </c>
      <c r="Y106" s="268">
        <f t="shared" si="98"/>
        <v>0</v>
      </c>
      <c r="Z106" s="268">
        <f t="shared" si="98"/>
        <v>0</v>
      </c>
      <c r="AA106" s="268">
        <f t="shared" si="98"/>
        <v>0</v>
      </c>
      <c r="AB106" s="268">
        <f t="shared" si="98"/>
        <v>0</v>
      </c>
      <c r="AC106" s="269">
        <f t="shared" si="98"/>
        <v>0</v>
      </c>
      <c r="AD106" s="264">
        <f>SUM(AD107:AD109)</f>
        <v>400</v>
      </c>
      <c r="AE106" s="265">
        <f t="shared" si="61"/>
        <v>-400</v>
      </c>
      <c r="AF106" s="266">
        <f t="shared" si="62"/>
        <v>0</v>
      </c>
      <c r="AG106" s="267">
        <f t="shared" ref="AG106:AO106" si="99">SUM(AG107:AG109)</f>
        <v>0</v>
      </c>
      <c r="AH106" s="268">
        <f t="shared" si="99"/>
        <v>0</v>
      </c>
      <c r="AI106" s="268">
        <f t="shared" si="99"/>
        <v>0</v>
      </c>
      <c r="AJ106" s="268">
        <f t="shared" si="99"/>
        <v>0</v>
      </c>
      <c r="AK106" s="268">
        <f t="shared" si="99"/>
        <v>0</v>
      </c>
      <c r="AL106" s="268">
        <f t="shared" si="99"/>
        <v>0</v>
      </c>
      <c r="AM106" s="268">
        <f t="shared" si="99"/>
        <v>0</v>
      </c>
      <c r="AN106" s="268">
        <f t="shared" si="99"/>
        <v>0</v>
      </c>
      <c r="AO106" s="269">
        <f t="shared" si="99"/>
        <v>0</v>
      </c>
      <c r="AP106" s="276">
        <v>400</v>
      </c>
      <c r="AQ106" s="276">
        <v>400</v>
      </c>
      <c r="AR106" s="277">
        <f>AQ106*100/AP106</f>
        <v>100</v>
      </c>
      <c r="AS106" s="278">
        <f t="shared" si="63"/>
        <v>1</v>
      </c>
      <c r="AT106" s="279">
        <f t="shared" si="64"/>
        <v>1</v>
      </c>
      <c r="AU106" s="279">
        <f t="shared" si="65"/>
        <v>1</v>
      </c>
      <c r="AV106" s="279">
        <f t="shared" si="66"/>
        <v>0</v>
      </c>
    </row>
    <row r="107" spans="1:48" outlineLevel="1" x14ac:dyDescent="0.25">
      <c r="A107" s="4" t="s">
        <v>540</v>
      </c>
      <c r="B107" s="75" t="s">
        <v>29</v>
      </c>
      <c r="C107" s="25"/>
      <c r="D107" s="92">
        <v>1</v>
      </c>
      <c r="E107" s="110">
        <v>400</v>
      </c>
      <c r="F107" s="93">
        <f>D107*E107</f>
        <v>400</v>
      </c>
      <c r="G107" s="74">
        <f t="shared" si="71"/>
        <v>0</v>
      </c>
      <c r="H107" s="95">
        <f t="shared" si="53"/>
        <v>400</v>
      </c>
      <c r="I107" s="112">
        <v>400</v>
      </c>
      <c r="J107" s="57"/>
      <c r="K107" s="57"/>
      <c r="L107" s="57"/>
      <c r="M107" s="57"/>
      <c r="N107" s="57"/>
      <c r="O107" s="57"/>
      <c r="P107" s="68"/>
      <c r="Q107" s="58"/>
      <c r="R107" s="93">
        <v>400</v>
      </c>
      <c r="S107" s="74">
        <f t="shared" si="82"/>
        <v>0</v>
      </c>
      <c r="T107" s="95">
        <f t="shared" si="83"/>
        <v>400</v>
      </c>
      <c r="U107" s="112">
        <v>400</v>
      </c>
      <c r="V107" s="57"/>
      <c r="W107" s="57"/>
      <c r="X107" s="57"/>
      <c r="Y107" s="57"/>
      <c r="Z107" s="57"/>
      <c r="AA107" s="57"/>
      <c r="AB107" s="68"/>
      <c r="AC107" s="58"/>
      <c r="AD107" s="170">
        <v>400</v>
      </c>
      <c r="AE107" s="89">
        <f t="shared" si="61"/>
        <v>-400</v>
      </c>
      <c r="AF107" s="216">
        <f t="shared" si="62"/>
        <v>0</v>
      </c>
      <c r="AG107" s="147"/>
      <c r="AH107" s="148"/>
      <c r="AI107" s="148"/>
      <c r="AJ107" s="148"/>
      <c r="AK107" s="148"/>
      <c r="AL107" s="148"/>
      <c r="AM107" s="148"/>
      <c r="AN107" s="149"/>
      <c r="AO107" s="150"/>
      <c r="AP107" s="76"/>
      <c r="AQ107" s="76"/>
      <c r="AR107" s="128"/>
      <c r="AS107" s="108">
        <f t="shared" si="63"/>
        <v>1</v>
      </c>
      <c r="AT107" s="249">
        <f t="shared" si="64"/>
        <v>1</v>
      </c>
      <c r="AU107" s="249">
        <f t="shared" si="65"/>
        <v>1</v>
      </c>
      <c r="AV107" s="249">
        <f t="shared" si="66"/>
        <v>0</v>
      </c>
    </row>
    <row r="108" spans="1:48" outlineLevel="1" x14ac:dyDescent="0.25">
      <c r="A108" s="4" t="s">
        <v>541</v>
      </c>
      <c r="B108" s="75" t="s">
        <v>30</v>
      </c>
      <c r="C108" s="25" t="s">
        <v>975</v>
      </c>
      <c r="D108" s="92">
        <v>0</v>
      </c>
      <c r="E108" s="110">
        <v>0</v>
      </c>
      <c r="F108" s="93">
        <f>D108*E108</f>
        <v>0</v>
      </c>
      <c r="G108" s="74">
        <f t="shared" si="71"/>
        <v>0</v>
      </c>
      <c r="H108" s="95">
        <f t="shared" si="53"/>
        <v>0</v>
      </c>
      <c r="I108" s="112"/>
      <c r="J108" s="57"/>
      <c r="K108" s="57"/>
      <c r="L108" s="57"/>
      <c r="M108" s="57"/>
      <c r="N108" s="57"/>
      <c r="O108" s="57"/>
      <c r="P108" s="68"/>
      <c r="Q108" s="58"/>
      <c r="R108" s="93">
        <v>0</v>
      </c>
      <c r="S108" s="74">
        <f t="shared" si="82"/>
        <v>0</v>
      </c>
      <c r="T108" s="95">
        <f t="shared" si="83"/>
        <v>0</v>
      </c>
      <c r="U108" s="112"/>
      <c r="V108" s="57"/>
      <c r="W108" s="57"/>
      <c r="X108" s="57"/>
      <c r="Y108" s="57"/>
      <c r="Z108" s="57"/>
      <c r="AA108" s="57"/>
      <c r="AB108" s="68"/>
      <c r="AC108" s="58"/>
      <c r="AD108" s="170">
        <f>P108*Q108</f>
        <v>0</v>
      </c>
      <c r="AE108" s="89">
        <f t="shared" si="61"/>
        <v>0</v>
      </c>
      <c r="AF108" s="216">
        <f t="shared" si="62"/>
        <v>0</v>
      </c>
      <c r="AG108" s="147"/>
      <c r="AH108" s="148"/>
      <c r="AI108" s="148"/>
      <c r="AJ108" s="148"/>
      <c r="AK108" s="148"/>
      <c r="AL108" s="148"/>
      <c r="AM108" s="148"/>
      <c r="AN108" s="149"/>
      <c r="AO108" s="150"/>
      <c r="AP108" s="76"/>
      <c r="AQ108" s="76"/>
      <c r="AR108" s="128"/>
      <c r="AS108" s="108"/>
      <c r="AT108" s="249"/>
      <c r="AU108" s="249"/>
      <c r="AV108" s="249"/>
    </row>
    <row r="109" spans="1:48" outlineLevel="1" x14ac:dyDescent="0.25">
      <c r="A109" s="4" t="s">
        <v>1043</v>
      </c>
      <c r="B109" s="75" t="s">
        <v>31</v>
      </c>
      <c r="C109" s="25"/>
      <c r="D109" s="92">
        <v>0</v>
      </c>
      <c r="E109" s="110">
        <v>0</v>
      </c>
      <c r="F109" s="93">
        <f>D109*E109</f>
        <v>0</v>
      </c>
      <c r="G109" s="74">
        <f t="shared" si="71"/>
        <v>0</v>
      </c>
      <c r="H109" s="95">
        <f t="shared" si="53"/>
        <v>0</v>
      </c>
      <c r="I109" s="112"/>
      <c r="J109" s="57"/>
      <c r="K109" s="57"/>
      <c r="L109" s="57"/>
      <c r="M109" s="57"/>
      <c r="N109" s="57"/>
      <c r="O109" s="57"/>
      <c r="P109" s="68"/>
      <c r="Q109" s="58"/>
      <c r="R109" s="93">
        <v>0</v>
      </c>
      <c r="S109" s="74">
        <f t="shared" si="82"/>
        <v>0</v>
      </c>
      <c r="T109" s="95">
        <f t="shared" si="83"/>
        <v>0</v>
      </c>
      <c r="U109" s="112"/>
      <c r="V109" s="57"/>
      <c r="W109" s="57"/>
      <c r="X109" s="57"/>
      <c r="Y109" s="57"/>
      <c r="Z109" s="57"/>
      <c r="AA109" s="57"/>
      <c r="AB109" s="68"/>
      <c r="AC109" s="58"/>
      <c r="AD109" s="170">
        <f>P109*Q109</f>
        <v>0</v>
      </c>
      <c r="AE109" s="89">
        <f t="shared" si="61"/>
        <v>0</v>
      </c>
      <c r="AF109" s="216">
        <f t="shared" si="62"/>
        <v>0</v>
      </c>
      <c r="AG109" s="147"/>
      <c r="AH109" s="148"/>
      <c r="AI109" s="148"/>
      <c r="AJ109" s="148"/>
      <c r="AK109" s="148"/>
      <c r="AL109" s="148"/>
      <c r="AM109" s="148"/>
      <c r="AN109" s="149"/>
      <c r="AO109" s="150"/>
      <c r="AP109" s="76"/>
      <c r="AQ109" s="76"/>
      <c r="AR109" s="128"/>
      <c r="AS109" s="108"/>
      <c r="AT109" s="249"/>
      <c r="AU109" s="249"/>
      <c r="AV109" s="249"/>
    </row>
    <row r="110" spans="1:48" s="280" customFormat="1" ht="15.75" x14ac:dyDescent="0.25">
      <c r="A110" s="270" t="s">
        <v>543</v>
      </c>
      <c r="B110" s="271" t="s">
        <v>578</v>
      </c>
      <c r="C110" s="272"/>
      <c r="D110" s="273"/>
      <c r="E110" s="274"/>
      <c r="F110" s="264">
        <f>SUM(F111:F113)</f>
        <v>1000</v>
      </c>
      <c r="G110" s="265">
        <f t="shared" si="71"/>
        <v>0</v>
      </c>
      <c r="H110" s="275">
        <f t="shared" si="53"/>
        <v>1000</v>
      </c>
      <c r="I110" s="267">
        <f t="shared" ref="I110:Q110" si="100">SUM(I111:I113)</f>
        <v>1000</v>
      </c>
      <c r="J110" s="268">
        <f t="shared" si="100"/>
        <v>0</v>
      </c>
      <c r="K110" s="268">
        <f t="shared" si="100"/>
        <v>0</v>
      </c>
      <c r="L110" s="268">
        <f t="shared" si="100"/>
        <v>0</v>
      </c>
      <c r="M110" s="268">
        <f t="shared" si="100"/>
        <v>0</v>
      </c>
      <c r="N110" s="268">
        <f t="shared" si="100"/>
        <v>0</v>
      </c>
      <c r="O110" s="268">
        <f t="shared" si="100"/>
        <v>0</v>
      </c>
      <c r="P110" s="268">
        <f t="shared" si="100"/>
        <v>0</v>
      </c>
      <c r="Q110" s="269">
        <f t="shared" si="100"/>
        <v>0</v>
      </c>
      <c r="R110" s="264">
        <f>SUM(R111:R113)</f>
        <v>1000</v>
      </c>
      <c r="S110" s="265">
        <f t="shared" si="82"/>
        <v>0</v>
      </c>
      <c r="T110" s="275">
        <f t="shared" si="83"/>
        <v>1000</v>
      </c>
      <c r="U110" s="267">
        <f t="shared" ref="U110:AC110" si="101">SUM(U111:U113)</f>
        <v>1000</v>
      </c>
      <c r="V110" s="268">
        <f t="shared" si="101"/>
        <v>0</v>
      </c>
      <c r="W110" s="268">
        <f t="shared" si="101"/>
        <v>0</v>
      </c>
      <c r="X110" s="268">
        <f t="shared" si="101"/>
        <v>0</v>
      </c>
      <c r="Y110" s="268">
        <f t="shared" si="101"/>
        <v>0</v>
      </c>
      <c r="Z110" s="268">
        <f t="shared" si="101"/>
        <v>0</v>
      </c>
      <c r="AA110" s="268">
        <f t="shared" si="101"/>
        <v>0</v>
      </c>
      <c r="AB110" s="268">
        <f t="shared" si="101"/>
        <v>0</v>
      </c>
      <c r="AC110" s="269">
        <f t="shared" si="101"/>
        <v>0</v>
      </c>
      <c r="AD110" s="264">
        <f>SUM(AD111:AD113)</f>
        <v>500</v>
      </c>
      <c r="AE110" s="265">
        <f t="shared" si="61"/>
        <v>-500</v>
      </c>
      <c r="AF110" s="266">
        <f t="shared" si="62"/>
        <v>0</v>
      </c>
      <c r="AG110" s="267">
        <f t="shared" ref="AG110:AO110" si="102">SUM(AG111:AG113)</f>
        <v>0</v>
      </c>
      <c r="AH110" s="268">
        <f t="shared" si="102"/>
        <v>0</v>
      </c>
      <c r="AI110" s="268">
        <f t="shared" si="102"/>
        <v>0</v>
      </c>
      <c r="AJ110" s="268">
        <f t="shared" si="102"/>
        <v>0</v>
      </c>
      <c r="AK110" s="268">
        <f t="shared" si="102"/>
        <v>0</v>
      </c>
      <c r="AL110" s="268">
        <f t="shared" si="102"/>
        <v>0</v>
      </c>
      <c r="AM110" s="268">
        <f t="shared" si="102"/>
        <v>0</v>
      </c>
      <c r="AN110" s="268">
        <f t="shared" si="102"/>
        <v>0</v>
      </c>
      <c r="AO110" s="269">
        <f t="shared" si="102"/>
        <v>0</v>
      </c>
      <c r="AP110" s="276">
        <v>1000</v>
      </c>
      <c r="AQ110" s="276">
        <v>998</v>
      </c>
      <c r="AR110" s="277">
        <f>AQ110*100/AP110</f>
        <v>99.8</v>
      </c>
      <c r="AS110" s="278">
        <f t="shared" si="63"/>
        <v>1</v>
      </c>
      <c r="AT110" s="279">
        <f t="shared" si="64"/>
        <v>1</v>
      </c>
      <c r="AU110" s="279">
        <f t="shared" si="65"/>
        <v>0.5</v>
      </c>
      <c r="AV110" s="279">
        <f t="shared" si="66"/>
        <v>0</v>
      </c>
    </row>
    <row r="111" spans="1:48" outlineLevel="1" x14ac:dyDescent="0.25">
      <c r="A111" s="4" t="s">
        <v>544</v>
      </c>
      <c r="B111" s="75" t="s">
        <v>32</v>
      </c>
      <c r="C111" s="25"/>
      <c r="D111" s="92">
        <v>1</v>
      </c>
      <c r="E111" s="110">
        <v>500</v>
      </c>
      <c r="F111" s="93">
        <f>D111*E111</f>
        <v>500</v>
      </c>
      <c r="G111" s="74">
        <f t="shared" si="71"/>
        <v>0</v>
      </c>
      <c r="H111" s="95">
        <f t="shared" si="53"/>
        <v>500</v>
      </c>
      <c r="I111" s="112">
        <v>500</v>
      </c>
      <c r="J111" s="57"/>
      <c r="K111" s="57"/>
      <c r="L111" s="57"/>
      <c r="M111" s="57"/>
      <c r="N111" s="57"/>
      <c r="O111" s="57"/>
      <c r="P111" s="68"/>
      <c r="Q111" s="58"/>
      <c r="R111" s="93">
        <v>500</v>
      </c>
      <c r="S111" s="74">
        <f t="shared" si="82"/>
        <v>0</v>
      </c>
      <c r="T111" s="95">
        <f t="shared" si="83"/>
        <v>500</v>
      </c>
      <c r="U111" s="112">
        <v>500</v>
      </c>
      <c r="V111" s="57"/>
      <c r="W111" s="57"/>
      <c r="X111" s="57"/>
      <c r="Y111" s="57"/>
      <c r="Z111" s="57"/>
      <c r="AA111" s="57"/>
      <c r="AB111" s="68"/>
      <c r="AC111" s="58"/>
      <c r="AD111" s="170">
        <v>500</v>
      </c>
      <c r="AE111" s="89">
        <f t="shared" si="61"/>
        <v>-500</v>
      </c>
      <c r="AF111" s="216">
        <f t="shared" si="62"/>
        <v>0</v>
      </c>
      <c r="AG111" s="147"/>
      <c r="AH111" s="148"/>
      <c r="AI111" s="148"/>
      <c r="AJ111" s="148"/>
      <c r="AK111" s="148"/>
      <c r="AL111" s="148"/>
      <c r="AM111" s="148"/>
      <c r="AN111" s="149"/>
      <c r="AO111" s="150"/>
      <c r="AP111" s="76"/>
      <c r="AQ111" s="76"/>
      <c r="AR111" s="128"/>
      <c r="AS111" s="108">
        <f t="shared" si="63"/>
        <v>1</v>
      </c>
      <c r="AT111" s="249">
        <f t="shared" si="64"/>
        <v>1</v>
      </c>
      <c r="AU111" s="249">
        <f t="shared" si="65"/>
        <v>1</v>
      </c>
      <c r="AV111" s="249">
        <f t="shared" si="66"/>
        <v>0</v>
      </c>
    </row>
    <row r="112" spans="1:48" outlineLevel="1" x14ac:dyDescent="0.25">
      <c r="A112" s="4" t="s">
        <v>545</v>
      </c>
      <c r="B112" s="75" t="s">
        <v>33</v>
      </c>
      <c r="C112" s="25"/>
      <c r="D112" s="92">
        <v>1</v>
      </c>
      <c r="E112" s="110">
        <v>500</v>
      </c>
      <c r="F112" s="93">
        <f>D112*E112</f>
        <v>500</v>
      </c>
      <c r="G112" s="74">
        <f t="shared" si="71"/>
        <v>0</v>
      </c>
      <c r="H112" s="95">
        <f t="shared" si="53"/>
        <v>500</v>
      </c>
      <c r="I112" s="112">
        <v>500</v>
      </c>
      <c r="J112" s="57"/>
      <c r="K112" s="57"/>
      <c r="L112" s="57"/>
      <c r="M112" s="57"/>
      <c r="N112" s="57"/>
      <c r="O112" s="57"/>
      <c r="P112" s="68"/>
      <c r="Q112" s="58"/>
      <c r="R112" s="93">
        <v>500</v>
      </c>
      <c r="S112" s="74">
        <f t="shared" si="82"/>
        <v>0</v>
      </c>
      <c r="T112" s="95">
        <f t="shared" si="83"/>
        <v>500</v>
      </c>
      <c r="U112" s="112">
        <v>500</v>
      </c>
      <c r="V112" s="57"/>
      <c r="W112" s="57"/>
      <c r="X112" s="57"/>
      <c r="Y112" s="57"/>
      <c r="Z112" s="57"/>
      <c r="AA112" s="57"/>
      <c r="AB112" s="68"/>
      <c r="AC112" s="58"/>
      <c r="AD112" s="170">
        <f>P112*Q112</f>
        <v>0</v>
      </c>
      <c r="AE112" s="89">
        <f t="shared" si="61"/>
        <v>0</v>
      </c>
      <c r="AF112" s="216">
        <f t="shared" si="62"/>
        <v>0</v>
      </c>
      <c r="AG112" s="147"/>
      <c r="AH112" s="148"/>
      <c r="AI112" s="148"/>
      <c r="AJ112" s="148"/>
      <c r="AK112" s="148"/>
      <c r="AL112" s="148"/>
      <c r="AM112" s="148"/>
      <c r="AN112" s="149"/>
      <c r="AO112" s="150"/>
      <c r="AP112" s="76"/>
      <c r="AQ112" s="76"/>
      <c r="AR112" s="128"/>
      <c r="AS112" s="108">
        <f t="shared" si="63"/>
        <v>1</v>
      </c>
      <c r="AT112" s="249">
        <f t="shared" si="64"/>
        <v>1</v>
      </c>
      <c r="AU112" s="249">
        <f t="shared" si="65"/>
        <v>0</v>
      </c>
      <c r="AV112" s="249">
        <f t="shared" si="66"/>
        <v>0</v>
      </c>
    </row>
    <row r="113" spans="1:48" outlineLevel="1" x14ac:dyDescent="0.25">
      <c r="A113" s="4" t="s">
        <v>1044</v>
      </c>
      <c r="B113" s="75" t="s">
        <v>34</v>
      </c>
      <c r="C113" s="25"/>
      <c r="D113" s="92">
        <v>0</v>
      </c>
      <c r="E113" s="110">
        <v>0</v>
      </c>
      <c r="F113" s="93">
        <f>D113*E113</f>
        <v>0</v>
      </c>
      <c r="G113" s="74">
        <f t="shared" si="71"/>
        <v>0</v>
      </c>
      <c r="H113" s="95">
        <f t="shared" si="53"/>
        <v>0</v>
      </c>
      <c r="I113" s="112"/>
      <c r="J113" s="57"/>
      <c r="K113" s="57"/>
      <c r="L113" s="57"/>
      <c r="M113" s="57"/>
      <c r="N113" s="57"/>
      <c r="O113" s="57"/>
      <c r="P113" s="68"/>
      <c r="Q113" s="58"/>
      <c r="R113" s="93">
        <v>0</v>
      </c>
      <c r="S113" s="74">
        <f t="shared" si="82"/>
        <v>0</v>
      </c>
      <c r="T113" s="95">
        <f t="shared" si="83"/>
        <v>0</v>
      </c>
      <c r="U113" s="112"/>
      <c r="V113" s="57"/>
      <c r="W113" s="57"/>
      <c r="X113" s="57"/>
      <c r="Y113" s="57"/>
      <c r="Z113" s="57"/>
      <c r="AA113" s="57"/>
      <c r="AB113" s="68"/>
      <c r="AC113" s="58"/>
      <c r="AD113" s="170">
        <f>P113*Q113</f>
        <v>0</v>
      </c>
      <c r="AE113" s="89">
        <f t="shared" si="61"/>
        <v>0</v>
      </c>
      <c r="AF113" s="216">
        <f t="shared" si="62"/>
        <v>0</v>
      </c>
      <c r="AG113" s="147"/>
      <c r="AH113" s="148"/>
      <c r="AI113" s="148"/>
      <c r="AJ113" s="148"/>
      <c r="AK113" s="148"/>
      <c r="AL113" s="148"/>
      <c r="AM113" s="148"/>
      <c r="AN113" s="149"/>
      <c r="AO113" s="150"/>
      <c r="AP113" s="76"/>
      <c r="AQ113" s="76"/>
      <c r="AR113" s="128"/>
      <c r="AS113" s="108"/>
      <c r="AT113" s="249"/>
      <c r="AU113" s="249"/>
      <c r="AV113" s="249"/>
    </row>
    <row r="114" spans="1:48" s="280" customFormat="1" ht="15.75" x14ac:dyDescent="0.25">
      <c r="A114" s="270" t="s">
        <v>547</v>
      </c>
      <c r="B114" s="271" t="s">
        <v>579</v>
      </c>
      <c r="C114" s="272"/>
      <c r="D114" s="273"/>
      <c r="E114" s="274"/>
      <c r="F114" s="264">
        <f>SUM(F115:F117)</f>
        <v>2600</v>
      </c>
      <c r="G114" s="265">
        <f t="shared" si="71"/>
        <v>0</v>
      </c>
      <c r="H114" s="275">
        <f t="shared" si="53"/>
        <v>2600</v>
      </c>
      <c r="I114" s="267">
        <f t="shared" ref="I114:Q114" si="103">SUM(I115:I117)</f>
        <v>600</v>
      </c>
      <c r="J114" s="268">
        <f t="shared" si="103"/>
        <v>0</v>
      </c>
      <c r="K114" s="268">
        <f t="shared" si="103"/>
        <v>0</v>
      </c>
      <c r="L114" s="268">
        <f t="shared" si="103"/>
        <v>2000</v>
      </c>
      <c r="M114" s="268">
        <f t="shared" si="103"/>
        <v>0</v>
      </c>
      <c r="N114" s="268">
        <f t="shared" si="103"/>
        <v>0</v>
      </c>
      <c r="O114" s="268">
        <f t="shared" si="103"/>
        <v>0</v>
      </c>
      <c r="P114" s="268">
        <f t="shared" si="103"/>
        <v>0</v>
      </c>
      <c r="Q114" s="269">
        <f t="shared" si="103"/>
        <v>0</v>
      </c>
      <c r="R114" s="264">
        <f>SUM(R115:R117)</f>
        <v>2600</v>
      </c>
      <c r="S114" s="265">
        <f t="shared" si="82"/>
        <v>0</v>
      </c>
      <c r="T114" s="275">
        <f t="shared" si="83"/>
        <v>2600</v>
      </c>
      <c r="U114" s="267">
        <f t="shared" ref="U114:AC114" si="104">SUM(U115:U117)</f>
        <v>600</v>
      </c>
      <c r="V114" s="268">
        <f t="shared" si="104"/>
        <v>0</v>
      </c>
      <c r="W114" s="268">
        <f t="shared" si="104"/>
        <v>0</v>
      </c>
      <c r="X114" s="268">
        <f t="shared" si="104"/>
        <v>2000</v>
      </c>
      <c r="Y114" s="268">
        <f t="shared" si="104"/>
        <v>0</v>
      </c>
      <c r="Z114" s="268">
        <f t="shared" si="104"/>
        <v>0</v>
      </c>
      <c r="AA114" s="268">
        <f t="shared" si="104"/>
        <v>0</v>
      </c>
      <c r="AB114" s="268">
        <f t="shared" si="104"/>
        <v>0</v>
      </c>
      <c r="AC114" s="269">
        <f t="shared" si="104"/>
        <v>0</v>
      </c>
      <c r="AD114" s="264">
        <f>SUM(AD115:AD117)</f>
        <v>1000</v>
      </c>
      <c r="AE114" s="265">
        <f t="shared" si="61"/>
        <v>-1000</v>
      </c>
      <c r="AF114" s="266">
        <f t="shared" si="62"/>
        <v>0</v>
      </c>
      <c r="AG114" s="267">
        <f t="shared" ref="AG114:AO114" si="105">SUM(AG115:AG117)</f>
        <v>0</v>
      </c>
      <c r="AH114" s="268">
        <f t="shared" si="105"/>
        <v>0</v>
      </c>
      <c r="AI114" s="268">
        <f t="shared" si="105"/>
        <v>0</v>
      </c>
      <c r="AJ114" s="268">
        <f t="shared" si="105"/>
        <v>0</v>
      </c>
      <c r="AK114" s="268">
        <f t="shared" si="105"/>
        <v>0</v>
      </c>
      <c r="AL114" s="268">
        <f t="shared" si="105"/>
        <v>0</v>
      </c>
      <c r="AM114" s="268">
        <f t="shared" si="105"/>
        <v>0</v>
      </c>
      <c r="AN114" s="268">
        <f t="shared" si="105"/>
        <v>0</v>
      </c>
      <c r="AO114" s="269">
        <f t="shared" si="105"/>
        <v>0</v>
      </c>
      <c r="AP114" s="276">
        <v>0</v>
      </c>
      <c r="AQ114" s="276">
        <f>SUM(AQ115:AQ117)</f>
        <v>0</v>
      </c>
      <c r="AR114" s="277"/>
      <c r="AS114" s="278">
        <f t="shared" si="63"/>
        <v>1</v>
      </c>
      <c r="AT114" s="279">
        <f t="shared" si="64"/>
        <v>1</v>
      </c>
      <c r="AU114" s="279">
        <f t="shared" si="65"/>
        <v>0.38461538461538464</v>
      </c>
      <c r="AV114" s="279">
        <f t="shared" si="66"/>
        <v>0</v>
      </c>
    </row>
    <row r="115" spans="1:48" outlineLevel="1" x14ac:dyDescent="0.25">
      <c r="A115" s="4" t="s">
        <v>548</v>
      </c>
      <c r="B115" s="75" t="s">
        <v>35</v>
      </c>
      <c r="C115" s="25"/>
      <c r="D115" s="92">
        <v>1</v>
      </c>
      <c r="E115" s="110">
        <v>2000</v>
      </c>
      <c r="F115" s="93">
        <f>D115*E115</f>
        <v>2000</v>
      </c>
      <c r="G115" s="74">
        <f t="shared" si="71"/>
        <v>0</v>
      </c>
      <c r="H115" s="95">
        <f t="shared" si="53"/>
        <v>2000</v>
      </c>
      <c r="I115" s="112">
        <v>0</v>
      </c>
      <c r="J115" s="57"/>
      <c r="K115" s="57"/>
      <c r="L115" s="57">
        <v>2000</v>
      </c>
      <c r="M115" s="57"/>
      <c r="N115" s="57"/>
      <c r="O115" s="57"/>
      <c r="P115" s="68"/>
      <c r="Q115" s="58"/>
      <c r="R115" s="93">
        <v>2000</v>
      </c>
      <c r="S115" s="74">
        <f t="shared" si="82"/>
        <v>0</v>
      </c>
      <c r="T115" s="95">
        <f t="shared" si="83"/>
        <v>2000</v>
      </c>
      <c r="U115" s="112">
        <v>0</v>
      </c>
      <c r="V115" s="57"/>
      <c r="W115" s="57"/>
      <c r="X115" s="57">
        <v>2000</v>
      </c>
      <c r="Y115" s="57"/>
      <c r="Z115" s="57"/>
      <c r="AA115" s="57"/>
      <c r="AB115" s="68"/>
      <c r="AC115" s="58"/>
      <c r="AD115" s="170">
        <v>1000</v>
      </c>
      <c r="AE115" s="89">
        <f t="shared" si="61"/>
        <v>-1000</v>
      </c>
      <c r="AF115" s="216">
        <f t="shared" si="62"/>
        <v>0</v>
      </c>
      <c r="AG115" s="147"/>
      <c r="AH115" s="148"/>
      <c r="AI115" s="148"/>
      <c r="AJ115" s="148"/>
      <c r="AK115" s="148"/>
      <c r="AL115" s="148"/>
      <c r="AM115" s="148"/>
      <c r="AN115" s="149"/>
      <c r="AO115" s="150"/>
      <c r="AP115" s="76"/>
      <c r="AQ115" s="76"/>
      <c r="AR115" s="128"/>
      <c r="AS115" s="108">
        <f t="shared" si="63"/>
        <v>1</v>
      </c>
      <c r="AT115" s="249">
        <f t="shared" si="64"/>
        <v>1</v>
      </c>
      <c r="AU115" s="249">
        <f t="shared" si="65"/>
        <v>0.5</v>
      </c>
      <c r="AV115" s="249">
        <f t="shared" si="66"/>
        <v>0</v>
      </c>
    </row>
    <row r="116" spans="1:48" outlineLevel="1" x14ac:dyDescent="0.25">
      <c r="A116" s="4" t="s">
        <v>549</v>
      </c>
      <c r="B116" s="75" t="s">
        <v>36</v>
      </c>
      <c r="C116" s="25"/>
      <c r="D116" s="92">
        <v>1</v>
      </c>
      <c r="E116" s="110">
        <v>500</v>
      </c>
      <c r="F116" s="93">
        <f>D116*E116</f>
        <v>500</v>
      </c>
      <c r="G116" s="74">
        <f t="shared" si="71"/>
        <v>0</v>
      </c>
      <c r="H116" s="95">
        <f t="shared" si="53"/>
        <v>500</v>
      </c>
      <c r="I116" s="112">
        <v>500</v>
      </c>
      <c r="J116" s="57"/>
      <c r="K116" s="57"/>
      <c r="L116" s="57"/>
      <c r="M116" s="57"/>
      <c r="N116" s="57"/>
      <c r="O116" s="57"/>
      <c r="P116" s="68"/>
      <c r="Q116" s="58"/>
      <c r="R116" s="93">
        <v>500</v>
      </c>
      <c r="S116" s="74">
        <f t="shared" si="82"/>
        <v>0</v>
      </c>
      <c r="T116" s="95">
        <f t="shared" si="83"/>
        <v>500</v>
      </c>
      <c r="U116" s="112">
        <v>500</v>
      </c>
      <c r="V116" s="57"/>
      <c r="W116" s="57"/>
      <c r="X116" s="57"/>
      <c r="Y116" s="57"/>
      <c r="Z116" s="57"/>
      <c r="AA116" s="57"/>
      <c r="AB116" s="68"/>
      <c r="AC116" s="58"/>
      <c r="AD116" s="170">
        <f>P116*Q116</f>
        <v>0</v>
      </c>
      <c r="AE116" s="89">
        <f t="shared" si="61"/>
        <v>0</v>
      </c>
      <c r="AF116" s="216">
        <f t="shared" si="62"/>
        <v>0</v>
      </c>
      <c r="AG116" s="147"/>
      <c r="AH116" s="148"/>
      <c r="AI116" s="148"/>
      <c r="AJ116" s="148"/>
      <c r="AK116" s="148"/>
      <c r="AL116" s="148"/>
      <c r="AM116" s="148"/>
      <c r="AN116" s="149"/>
      <c r="AO116" s="150"/>
      <c r="AP116" s="76"/>
      <c r="AQ116" s="76"/>
      <c r="AR116" s="128"/>
      <c r="AS116" s="108">
        <f t="shared" si="63"/>
        <v>1</v>
      </c>
      <c r="AT116" s="249">
        <f t="shared" si="64"/>
        <v>1</v>
      </c>
      <c r="AU116" s="249">
        <f t="shared" si="65"/>
        <v>0</v>
      </c>
      <c r="AV116" s="249">
        <f t="shared" si="66"/>
        <v>0</v>
      </c>
    </row>
    <row r="117" spans="1:48" outlineLevel="1" x14ac:dyDescent="0.25">
      <c r="A117" s="4" t="s">
        <v>1045</v>
      </c>
      <c r="B117" s="75" t="s">
        <v>37</v>
      </c>
      <c r="C117" s="25"/>
      <c r="D117" s="92">
        <v>1</v>
      </c>
      <c r="E117" s="110">
        <v>100</v>
      </c>
      <c r="F117" s="93">
        <f>D117*E117</f>
        <v>100</v>
      </c>
      <c r="G117" s="74">
        <f t="shared" si="71"/>
        <v>0</v>
      </c>
      <c r="H117" s="95">
        <f t="shared" si="53"/>
        <v>100</v>
      </c>
      <c r="I117" s="112">
        <v>100</v>
      </c>
      <c r="J117" s="57"/>
      <c r="K117" s="57"/>
      <c r="L117" s="57"/>
      <c r="M117" s="57"/>
      <c r="N117" s="57"/>
      <c r="O117" s="57"/>
      <c r="P117" s="68"/>
      <c r="Q117" s="58"/>
      <c r="R117" s="93">
        <v>100</v>
      </c>
      <c r="S117" s="74">
        <f t="shared" si="82"/>
        <v>0</v>
      </c>
      <c r="T117" s="95">
        <f t="shared" si="83"/>
        <v>100</v>
      </c>
      <c r="U117" s="112">
        <v>100</v>
      </c>
      <c r="V117" s="57"/>
      <c r="W117" s="57"/>
      <c r="X117" s="57"/>
      <c r="Y117" s="57"/>
      <c r="Z117" s="57"/>
      <c r="AA117" s="57"/>
      <c r="AB117" s="68"/>
      <c r="AC117" s="58"/>
      <c r="AD117" s="170">
        <f>P117*Q117</f>
        <v>0</v>
      </c>
      <c r="AE117" s="89">
        <f t="shared" si="61"/>
        <v>0</v>
      </c>
      <c r="AF117" s="216">
        <f t="shared" si="62"/>
        <v>0</v>
      </c>
      <c r="AG117" s="147"/>
      <c r="AH117" s="148"/>
      <c r="AI117" s="148"/>
      <c r="AJ117" s="148"/>
      <c r="AK117" s="148"/>
      <c r="AL117" s="148"/>
      <c r="AM117" s="148"/>
      <c r="AN117" s="149"/>
      <c r="AO117" s="150"/>
      <c r="AP117" s="76"/>
      <c r="AQ117" s="76"/>
      <c r="AR117" s="128"/>
      <c r="AS117" s="108">
        <f t="shared" si="63"/>
        <v>1</v>
      </c>
      <c r="AT117" s="249">
        <f t="shared" si="64"/>
        <v>1</v>
      </c>
      <c r="AU117" s="249">
        <f t="shared" si="65"/>
        <v>0</v>
      </c>
      <c r="AV117" s="249">
        <f t="shared" si="66"/>
        <v>0</v>
      </c>
    </row>
    <row r="118" spans="1:48" s="280" customFormat="1" ht="15.75" x14ac:dyDescent="0.25">
      <c r="A118" s="270" t="s">
        <v>551</v>
      </c>
      <c r="B118" s="271" t="s">
        <v>580</v>
      </c>
      <c r="C118" s="272"/>
      <c r="D118" s="273"/>
      <c r="E118" s="274"/>
      <c r="F118" s="264">
        <f>SUM(F119:F121)</f>
        <v>1150</v>
      </c>
      <c r="G118" s="265">
        <f t="shared" si="71"/>
        <v>0</v>
      </c>
      <c r="H118" s="275">
        <f t="shared" si="53"/>
        <v>1150</v>
      </c>
      <c r="I118" s="267">
        <f t="shared" ref="I118:Q118" si="106">SUM(I119:I121)</f>
        <v>150</v>
      </c>
      <c r="J118" s="268">
        <f t="shared" si="106"/>
        <v>0</v>
      </c>
      <c r="K118" s="268">
        <f t="shared" si="106"/>
        <v>0</v>
      </c>
      <c r="L118" s="268">
        <f t="shared" si="106"/>
        <v>1000</v>
      </c>
      <c r="M118" s="268">
        <f t="shared" si="106"/>
        <v>0</v>
      </c>
      <c r="N118" s="268">
        <f t="shared" si="106"/>
        <v>0</v>
      </c>
      <c r="O118" s="268">
        <f t="shared" si="106"/>
        <v>0</v>
      </c>
      <c r="P118" s="268">
        <f t="shared" si="106"/>
        <v>0</v>
      </c>
      <c r="Q118" s="269">
        <f t="shared" si="106"/>
        <v>0</v>
      </c>
      <c r="R118" s="264">
        <f>SUM(R119:R121)</f>
        <v>1150</v>
      </c>
      <c r="S118" s="265">
        <f t="shared" si="82"/>
        <v>0</v>
      </c>
      <c r="T118" s="275">
        <f t="shared" si="83"/>
        <v>1150</v>
      </c>
      <c r="U118" s="267">
        <f t="shared" ref="U118:AC118" si="107">SUM(U119:U121)</f>
        <v>150</v>
      </c>
      <c r="V118" s="268">
        <f t="shared" si="107"/>
        <v>0</v>
      </c>
      <c r="W118" s="268">
        <f t="shared" si="107"/>
        <v>0</v>
      </c>
      <c r="X118" s="268">
        <f t="shared" si="107"/>
        <v>1000</v>
      </c>
      <c r="Y118" s="268">
        <f t="shared" si="107"/>
        <v>0</v>
      </c>
      <c r="Z118" s="268">
        <f t="shared" si="107"/>
        <v>0</v>
      </c>
      <c r="AA118" s="268">
        <f t="shared" si="107"/>
        <v>0</v>
      </c>
      <c r="AB118" s="268">
        <f t="shared" si="107"/>
        <v>0</v>
      </c>
      <c r="AC118" s="269">
        <f t="shared" si="107"/>
        <v>0</v>
      </c>
      <c r="AD118" s="264">
        <f>SUM(AD119:AD121)</f>
        <v>400</v>
      </c>
      <c r="AE118" s="265">
        <f t="shared" si="61"/>
        <v>-400</v>
      </c>
      <c r="AF118" s="266">
        <f t="shared" si="62"/>
        <v>0</v>
      </c>
      <c r="AG118" s="267">
        <f t="shared" ref="AG118:AO118" si="108">SUM(AG119:AG121)</f>
        <v>0</v>
      </c>
      <c r="AH118" s="268">
        <f t="shared" si="108"/>
        <v>0</v>
      </c>
      <c r="AI118" s="268">
        <f t="shared" si="108"/>
        <v>0</v>
      </c>
      <c r="AJ118" s="268">
        <f t="shared" si="108"/>
        <v>0</v>
      </c>
      <c r="AK118" s="268">
        <f t="shared" si="108"/>
        <v>0</v>
      </c>
      <c r="AL118" s="268">
        <f t="shared" si="108"/>
        <v>0</v>
      </c>
      <c r="AM118" s="268">
        <f t="shared" si="108"/>
        <v>0</v>
      </c>
      <c r="AN118" s="268">
        <f t="shared" si="108"/>
        <v>0</v>
      </c>
      <c r="AO118" s="269">
        <f t="shared" si="108"/>
        <v>0</v>
      </c>
      <c r="AP118" s="276">
        <v>1200</v>
      </c>
      <c r="AQ118" s="276">
        <v>1300</v>
      </c>
      <c r="AR118" s="277">
        <f>AQ118*100/AP118</f>
        <v>108.33333333333333</v>
      </c>
      <c r="AS118" s="278">
        <f t="shared" si="63"/>
        <v>1</v>
      </c>
      <c r="AT118" s="279">
        <f t="shared" si="64"/>
        <v>1</v>
      </c>
      <c r="AU118" s="279">
        <f t="shared" si="65"/>
        <v>0.34782608695652173</v>
      </c>
      <c r="AV118" s="279">
        <f t="shared" si="66"/>
        <v>0</v>
      </c>
    </row>
    <row r="119" spans="1:48" outlineLevel="1" x14ac:dyDescent="0.25">
      <c r="A119" s="4" t="s">
        <v>552</v>
      </c>
      <c r="B119" s="75" t="s">
        <v>38</v>
      </c>
      <c r="C119" s="25"/>
      <c r="D119" s="92">
        <v>1</v>
      </c>
      <c r="E119" s="110">
        <v>650</v>
      </c>
      <c r="F119" s="93">
        <f>D119*E119</f>
        <v>650</v>
      </c>
      <c r="G119" s="74">
        <f t="shared" si="71"/>
        <v>0</v>
      </c>
      <c r="H119" s="95">
        <f t="shared" si="53"/>
        <v>650</v>
      </c>
      <c r="I119" s="112">
        <v>150</v>
      </c>
      <c r="J119" s="57"/>
      <c r="K119" s="57"/>
      <c r="L119" s="57">
        <v>500</v>
      </c>
      <c r="M119" s="57"/>
      <c r="N119" s="57"/>
      <c r="O119" s="57"/>
      <c r="P119" s="68"/>
      <c r="Q119" s="58"/>
      <c r="R119" s="93">
        <v>650</v>
      </c>
      <c r="S119" s="74">
        <f t="shared" si="82"/>
        <v>0</v>
      </c>
      <c r="T119" s="95">
        <f t="shared" si="83"/>
        <v>650</v>
      </c>
      <c r="U119" s="112">
        <v>150</v>
      </c>
      <c r="V119" s="57"/>
      <c r="W119" s="57"/>
      <c r="X119" s="57">
        <v>500</v>
      </c>
      <c r="Y119" s="57"/>
      <c r="Z119" s="57"/>
      <c r="AA119" s="57"/>
      <c r="AB119" s="68"/>
      <c r="AC119" s="58"/>
      <c r="AD119" s="170">
        <v>400</v>
      </c>
      <c r="AE119" s="89">
        <f t="shared" si="61"/>
        <v>-400</v>
      </c>
      <c r="AF119" s="216">
        <f t="shared" si="62"/>
        <v>0</v>
      </c>
      <c r="AG119" s="147"/>
      <c r="AH119" s="148"/>
      <c r="AI119" s="148"/>
      <c r="AJ119" s="148"/>
      <c r="AK119" s="148"/>
      <c r="AL119" s="148"/>
      <c r="AM119" s="148"/>
      <c r="AN119" s="149"/>
      <c r="AO119" s="150"/>
      <c r="AP119" s="76"/>
      <c r="AQ119" s="76"/>
      <c r="AR119" s="128"/>
      <c r="AS119" s="108">
        <f t="shared" si="63"/>
        <v>1</v>
      </c>
      <c r="AT119" s="249">
        <f t="shared" si="64"/>
        <v>1</v>
      </c>
      <c r="AU119" s="249">
        <f t="shared" si="65"/>
        <v>0.61538461538461542</v>
      </c>
      <c r="AV119" s="249">
        <f t="shared" si="66"/>
        <v>0</v>
      </c>
    </row>
    <row r="120" spans="1:48" outlineLevel="1" x14ac:dyDescent="0.25">
      <c r="A120" s="4" t="s">
        <v>553</v>
      </c>
      <c r="B120" s="75" t="s">
        <v>39</v>
      </c>
      <c r="C120" s="25"/>
      <c r="D120" s="92">
        <v>1</v>
      </c>
      <c r="E120" s="110">
        <v>500</v>
      </c>
      <c r="F120" s="93">
        <f>D120*E120</f>
        <v>500</v>
      </c>
      <c r="G120" s="74">
        <f t="shared" si="71"/>
        <v>0</v>
      </c>
      <c r="H120" s="95">
        <f t="shared" si="53"/>
        <v>500</v>
      </c>
      <c r="I120" s="112"/>
      <c r="J120" s="57"/>
      <c r="K120" s="57"/>
      <c r="L120" s="57">
        <v>500</v>
      </c>
      <c r="M120" s="57"/>
      <c r="N120" s="57"/>
      <c r="O120" s="57"/>
      <c r="P120" s="68"/>
      <c r="Q120" s="58"/>
      <c r="R120" s="93">
        <v>500</v>
      </c>
      <c r="S120" s="74">
        <f t="shared" si="82"/>
        <v>0</v>
      </c>
      <c r="T120" s="95">
        <f t="shared" si="83"/>
        <v>500</v>
      </c>
      <c r="U120" s="112"/>
      <c r="V120" s="57"/>
      <c r="W120" s="57"/>
      <c r="X120" s="57">
        <v>500</v>
      </c>
      <c r="Y120" s="57"/>
      <c r="Z120" s="57"/>
      <c r="AA120" s="57"/>
      <c r="AB120" s="68"/>
      <c r="AC120" s="58"/>
      <c r="AD120" s="170">
        <f>P120*Q120</f>
        <v>0</v>
      </c>
      <c r="AE120" s="89">
        <f t="shared" si="61"/>
        <v>0</v>
      </c>
      <c r="AF120" s="216">
        <f t="shared" si="62"/>
        <v>0</v>
      </c>
      <c r="AG120" s="147"/>
      <c r="AH120" s="148"/>
      <c r="AI120" s="148"/>
      <c r="AJ120" s="148"/>
      <c r="AK120" s="148"/>
      <c r="AL120" s="148"/>
      <c r="AM120" s="148"/>
      <c r="AN120" s="149"/>
      <c r="AO120" s="150"/>
      <c r="AP120" s="76"/>
      <c r="AQ120" s="76"/>
      <c r="AR120" s="128"/>
      <c r="AS120" s="108">
        <f t="shared" si="63"/>
        <v>1</v>
      </c>
      <c r="AT120" s="249">
        <f t="shared" si="64"/>
        <v>1</v>
      </c>
      <c r="AU120" s="249">
        <f t="shared" si="65"/>
        <v>0</v>
      </c>
      <c r="AV120" s="249">
        <f t="shared" si="66"/>
        <v>0</v>
      </c>
    </row>
    <row r="121" spans="1:48" outlineLevel="1" x14ac:dyDescent="0.25">
      <c r="A121" s="4" t="s">
        <v>1046</v>
      </c>
      <c r="B121" s="75" t="s">
        <v>40</v>
      </c>
      <c r="C121" s="25"/>
      <c r="D121" s="92">
        <v>0</v>
      </c>
      <c r="E121" s="110">
        <v>0</v>
      </c>
      <c r="F121" s="93">
        <f>D121*E121</f>
        <v>0</v>
      </c>
      <c r="G121" s="74">
        <f t="shared" si="71"/>
        <v>0</v>
      </c>
      <c r="H121" s="95">
        <f t="shared" si="53"/>
        <v>0</v>
      </c>
      <c r="I121" s="112"/>
      <c r="J121" s="57"/>
      <c r="K121" s="57"/>
      <c r="L121" s="57"/>
      <c r="M121" s="57"/>
      <c r="N121" s="57"/>
      <c r="O121" s="57"/>
      <c r="P121" s="68"/>
      <c r="Q121" s="58"/>
      <c r="R121" s="93">
        <v>0</v>
      </c>
      <c r="S121" s="74">
        <f t="shared" si="82"/>
        <v>0</v>
      </c>
      <c r="T121" s="95">
        <f t="shared" si="83"/>
        <v>0</v>
      </c>
      <c r="U121" s="112"/>
      <c r="V121" s="57"/>
      <c r="W121" s="57"/>
      <c r="X121" s="57"/>
      <c r="Y121" s="57"/>
      <c r="Z121" s="57"/>
      <c r="AA121" s="57"/>
      <c r="AB121" s="68"/>
      <c r="AC121" s="58"/>
      <c r="AD121" s="170">
        <f>P121*Q121</f>
        <v>0</v>
      </c>
      <c r="AE121" s="89">
        <f t="shared" si="61"/>
        <v>0</v>
      </c>
      <c r="AF121" s="216">
        <f t="shared" si="62"/>
        <v>0</v>
      </c>
      <c r="AG121" s="147"/>
      <c r="AH121" s="148"/>
      <c r="AI121" s="148"/>
      <c r="AJ121" s="148"/>
      <c r="AK121" s="148"/>
      <c r="AL121" s="148"/>
      <c r="AM121" s="148"/>
      <c r="AN121" s="149"/>
      <c r="AO121" s="150"/>
      <c r="AP121" s="76"/>
      <c r="AQ121" s="76"/>
      <c r="AR121" s="128"/>
      <c r="AS121" s="108"/>
      <c r="AT121" s="249"/>
      <c r="AU121" s="249"/>
      <c r="AV121" s="249"/>
    </row>
    <row r="122" spans="1:48" s="280" customFormat="1" ht="15.75" x14ac:dyDescent="0.25">
      <c r="A122" s="270" t="s">
        <v>555</v>
      </c>
      <c r="B122" s="271" t="s">
        <v>648</v>
      </c>
      <c r="C122" s="272"/>
      <c r="D122" s="273"/>
      <c r="E122" s="274"/>
      <c r="F122" s="264">
        <f>SUM(F123:F125)</f>
        <v>100</v>
      </c>
      <c r="G122" s="265">
        <f t="shared" si="71"/>
        <v>0</v>
      </c>
      <c r="H122" s="275">
        <f t="shared" si="53"/>
        <v>100</v>
      </c>
      <c r="I122" s="267">
        <f t="shared" ref="I122:Q122" si="109">SUM(I123:I125)</f>
        <v>100</v>
      </c>
      <c r="J122" s="268">
        <f t="shared" si="109"/>
        <v>0</v>
      </c>
      <c r="K122" s="268">
        <f t="shared" si="109"/>
        <v>0</v>
      </c>
      <c r="L122" s="268">
        <f>SUM(L123:L125)</f>
        <v>0</v>
      </c>
      <c r="M122" s="268">
        <f>SUM(M123:M125)</f>
        <v>0</v>
      </c>
      <c r="N122" s="268">
        <f t="shared" si="109"/>
        <v>0</v>
      </c>
      <c r="O122" s="268">
        <f t="shared" si="109"/>
        <v>0</v>
      </c>
      <c r="P122" s="268">
        <f t="shared" si="109"/>
        <v>0</v>
      </c>
      <c r="Q122" s="269">
        <f t="shared" si="109"/>
        <v>0</v>
      </c>
      <c r="R122" s="264">
        <f>SUM(R123:R125)</f>
        <v>100</v>
      </c>
      <c r="S122" s="265">
        <f t="shared" si="82"/>
        <v>0</v>
      </c>
      <c r="T122" s="275">
        <f t="shared" si="83"/>
        <v>100</v>
      </c>
      <c r="U122" s="267">
        <f t="shared" ref="U122:AD122" si="110">SUM(U123:U125)</f>
        <v>100</v>
      </c>
      <c r="V122" s="268">
        <f t="shared" si="110"/>
        <v>0</v>
      </c>
      <c r="W122" s="268">
        <f t="shared" si="110"/>
        <v>0</v>
      </c>
      <c r="X122" s="268">
        <f t="shared" si="110"/>
        <v>0</v>
      </c>
      <c r="Y122" s="268">
        <f t="shared" si="110"/>
        <v>0</v>
      </c>
      <c r="Z122" s="268">
        <f t="shared" si="110"/>
        <v>0</v>
      </c>
      <c r="AA122" s="268">
        <f t="shared" si="110"/>
        <v>0</v>
      </c>
      <c r="AB122" s="268">
        <f t="shared" si="110"/>
        <v>0</v>
      </c>
      <c r="AC122" s="269">
        <f t="shared" si="110"/>
        <v>0</v>
      </c>
      <c r="AD122" s="264">
        <f t="shared" si="110"/>
        <v>0</v>
      </c>
      <c r="AE122" s="265">
        <f t="shared" si="61"/>
        <v>0</v>
      </c>
      <c r="AF122" s="266">
        <f t="shared" si="62"/>
        <v>0</v>
      </c>
      <c r="AG122" s="267">
        <f t="shared" ref="AG122:AO122" si="111">SUM(AG123:AG125)</f>
        <v>0</v>
      </c>
      <c r="AH122" s="268">
        <f t="shared" si="111"/>
        <v>0</v>
      </c>
      <c r="AI122" s="268">
        <f t="shared" si="111"/>
        <v>0</v>
      </c>
      <c r="AJ122" s="268">
        <f t="shared" si="111"/>
        <v>0</v>
      </c>
      <c r="AK122" s="268">
        <f t="shared" si="111"/>
        <v>0</v>
      </c>
      <c r="AL122" s="268">
        <f t="shared" si="111"/>
        <v>0</v>
      </c>
      <c r="AM122" s="268">
        <f t="shared" si="111"/>
        <v>0</v>
      </c>
      <c r="AN122" s="268">
        <f t="shared" si="111"/>
        <v>0</v>
      </c>
      <c r="AO122" s="269">
        <f t="shared" si="111"/>
        <v>0</v>
      </c>
      <c r="AP122" s="276">
        <v>0</v>
      </c>
      <c r="AQ122" s="276">
        <f>SUM(AQ123:AQ125)</f>
        <v>0</v>
      </c>
      <c r="AR122" s="277"/>
      <c r="AS122" s="278">
        <f t="shared" si="63"/>
        <v>1</v>
      </c>
      <c r="AT122" s="279">
        <f t="shared" si="64"/>
        <v>1</v>
      </c>
      <c r="AU122" s="279">
        <f t="shared" si="65"/>
        <v>0</v>
      </c>
      <c r="AV122" s="279">
        <f t="shared" si="66"/>
        <v>0</v>
      </c>
    </row>
    <row r="123" spans="1:48" outlineLevel="1" x14ac:dyDescent="0.25">
      <c r="A123" s="4" t="s">
        <v>556</v>
      </c>
      <c r="B123" s="75" t="s">
        <v>41</v>
      </c>
      <c r="C123" s="25" t="s">
        <v>107</v>
      </c>
      <c r="D123" s="92">
        <v>0</v>
      </c>
      <c r="E123" s="110">
        <v>0</v>
      </c>
      <c r="F123" s="93">
        <f>D123*E123</f>
        <v>0</v>
      </c>
      <c r="G123" s="74">
        <f t="shared" si="71"/>
        <v>0</v>
      </c>
      <c r="H123" s="95">
        <f t="shared" si="53"/>
        <v>0</v>
      </c>
      <c r="I123" s="112"/>
      <c r="J123" s="57"/>
      <c r="K123" s="57"/>
      <c r="L123" s="57"/>
      <c r="M123" s="57"/>
      <c r="N123" s="57"/>
      <c r="O123" s="57"/>
      <c r="P123" s="68"/>
      <c r="Q123" s="58"/>
      <c r="R123" s="93">
        <f>P123*Q123</f>
        <v>0</v>
      </c>
      <c r="S123" s="74">
        <f t="shared" si="82"/>
        <v>0</v>
      </c>
      <c r="T123" s="95">
        <f t="shared" si="83"/>
        <v>0</v>
      </c>
      <c r="U123" s="112"/>
      <c r="V123" s="57"/>
      <c r="W123" s="57"/>
      <c r="X123" s="57"/>
      <c r="Y123" s="57"/>
      <c r="Z123" s="57"/>
      <c r="AA123" s="57"/>
      <c r="AB123" s="68"/>
      <c r="AC123" s="58"/>
      <c r="AD123" s="170">
        <f>P123*Q123</f>
        <v>0</v>
      </c>
      <c r="AE123" s="89">
        <f t="shared" si="61"/>
        <v>0</v>
      </c>
      <c r="AF123" s="216">
        <f t="shared" si="62"/>
        <v>0</v>
      </c>
      <c r="AG123" s="147"/>
      <c r="AH123" s="148"/>
      <c r="AI123" s="148"/>
      <c r="AJ123" s="148"/>
      <c r="AK123" s="148"/>
      <c r="AL123" s="148"/>
      <c r="AM123" s="148"/>
      <c r="AN123" s="149"/>
      <c r="AO123" s="150"/>
      <c r="AP123" s="76"/>
      <c r="AQ123" s="76"/>
      <c r="AR123" s="128"/>
      <c r="AS123" s="108"/>
      <c r="AT123" s="249"/>
      <c r="AU123" s="249"/>
      <c r="AV123" s="249"/>
    </row>
    <row r="124" spans="1:48" outlineLevel="1" x14ac:dyDescent="0.25">
      <c r="A124" s="4" t="s">
        <v>557</v>
      </c>
      <c r="B124" s="75" t="s">
        <v>42</v>
      </c>
      <c r="C124" s="25" t="s">
        <v>110</v>
      </c>
      <c r="D124" s="92">
        <v>0</v>
      </c>
      <c r="E124" s="110">
        <v>0</v>
      </c>
      <c r="F124" s="93">
        <f>D124*E124</f>
        <v>0</v>
      </c>
      <c r="G124" s="74">
        <f t="shared" si="71"/>
        <v>0</v>
      </c>
      <c r="H124" s="95">
        <f t="shared" si="53"/>
        <v>0</v>
      </c>
      <c r="I124" s="112"/>
      <c r="J124" s="57"/>
      <c r="K124" s="57"/>
      <c r="L124" s="57"/>
      <c r="M124" s="57"/>
      <c r="N124" s="57"/>
      <c r="O124" s="57"/>
      <c r="P124" s="68"/>
      <c r="Q124" s="58"/>
      <c r="R124" s="93">
        <f>P124*Q124</f>
        <v>0</v>
      </c>
      <c r="S124" s="74">
        <f t="shared" si="82"/>
        <v>0</v>
      </c>
      <c r="T124" s="95">
        <f t="shared" si="83"/>
        <v>0</v>
      </c>
      <c r="U124" s="112"/>
      <c r="V124" s="57"/>
      <c r="W124" s="57"/>
      <c r="X124" s="57"/>
      <c r="Y124" s="57"/>
      <c r="Z124" s="57"/>
      <c r="AA124" s="57"/>
      <c r="AB124" s="68"/>
      <c r="AC124" s="58"/>
      <c r="AD124" s="170">
        <f>P124*Q124</f>
        <v>0</v>
      </c>
      <c r="AE124" s="89">
        <f t="shared" si="61"/>
        <v>0</v>
      </c>
      <c r="AF124" s="216">
        <f t="shared" si="62"/>
        <v>0</v>
      </c>
      <c r="AG124" s="147"/>
      <c r="AH124" s="148"/>
      <c r="AI124" s="148"/>
      <c r="AJ124" s="148"/>
      <c r="AK124" s="148"/>
      <c r="AL124" s="148"/>
      <c r="AM124" s="148"/>
      <c r="AN124" s="149"/>
      <c r="AO124" s="150"/>
      <c r="AP124" s="76"/>
      <c r="AQ124" s="76"/>
      <c r="AR124" s="128"/>
      <c r="AS124" s="108"/>
      <c r="AT124" s="249"/>
      <c r="AU124" s="249"/>
      <c r="AV124" s="249"/>
    </row>
    <row r="125" spans="1:48" outlineLevel="1" x14ac:dyDescent="0.25">
      <c r="A125" s="4" t="s">
        <v>1047</v>
      </c>
      <c r="B125" s="75" t="s">
        <v>43</v>
      </c>
      <c r="C125" s="25"/>
      <c r="D125" s="92">
        <v>1</v>
      </c>
      <c r="E125" s="110">
        <v>100</v>
      </c>
      <c r="F125" s="93">
        <f>D125*E125</f>
        <v>100</v>
      </c>
      <c r="G125" s="74">
        <f t="shared" si="71"/>
        <v>0</v>
      </c>
      <c r="H125" s="95">
        <f t="shared" ref="H125:H189" si="112">SUM(I125:Q125)</f>
        <v>100</v>
      </c>
      <c r="I125" s="112">
        <v>100</v>
      </c>
      <c r="J125" s="57"/>
      <c r="K125" s="57"/>
      <c r="L125" s="57"/>
      <c r="M125" s="57"/>
      <c r="N125" s="57"/>
      <c r="O125" s="57"/>
      <c r="P125" s="68"/>
      <c r="Q125" s="58"/>
      <c r="R125" s="93">
        <v>100</v>
      </c>
      <c r="S125" s="74">
        <f t="shared" si="82"/>
        <v>0</v>
      </c>
      <c r="T125" s="95">
        <f t="shared" si="83"/>
        <v>100</v>
      </c>
      <c r="U125" s="112">
        <v>100</v>
      </c>
      <c r="V125" s="57"/>
      <c r="W125" s="57"/>
      <c r="X125" s="57"/>
      <c r="Y125" s="57"/>
      <c r="Z125" s="57"/>
      <c r="AA125" s="57"/>
      <c r="AB125" s="68"/>
      <c r="AC125" s="58"/>
      <c r="AD125" s="170">
        <f>P125*Q125</f>
        <v>0</v>
      </c>
      <c r="AE125" s="89">
        <f t="shared" si="61"/>
        <v>0</v>
      </c>
      <c r="AF125" s="216">
        <f t="shared" si="62"/>
        <v>0</v>
      </c>
      <c r="AG125" s="147"/>
      <c r="AH125" s="148"/>
      <c r="AI125" s="148"/>
      <c r="AJ125" s="148"/>
      <c r="AK125" s="148"/>
      <c r="AL125" s="148"/>
      <c r="AM125" s="148"/>
      <c r="AN125" s="149"/>
      <c r="AO125" s="150"/>
      <c r="AP125" s="76"/>
      <c r="AQ125" s="76"/>
      <c r="AR125" s="128"/>
      <c r="AS125" s="108">
        <f t="shared" si="63"/>
        <v>1</v>
      </c>
      <c r="AT125" s="249">
        <f t="shared" si="64"/>
        <v>1</v>
      </c>
      <c r="AU125" s="249">
        <f t="shared" si="65"/>
        <v>0</v>
      </c>
      <c r="AV125" s="249">
        <f t="shared" si="66"/>
        <v>0</v>
      </c>
    </row>
    <row r="126" spans="1:48" s="280" customFormat="1" ht="15.75" x14ac:dyDescent="0.25">
      <c r="A126" s="270" t="s">
        <v>559</v>
      </c>
      <c r="B126" s="271" t="s">
        <v>111</v>
      </c>
      <c r="C126" s="272"/>
      <c r="D126" s="273"/>
      <c r="E126" s="274"/>
      <c r="F126" s="264">
        <f>SUM(F127:F129)</f>
        <v>700</v>
      </c>
      <c r="G126" s="265">
        <f t="shared" si="71"/>
        <v>0</v>
      </c>
      <c r="H126" s="275">
        <f t="shared" si="112"/>
        <v>700</v>
      </c>
      <c r="I126" s="267">
        <f t="shared" ref="I126:Q126" si="113">SUM(I127:I129)</f>
        <v>0</v>
      </c>
      <c r="J126" s="268">
        <f t="shared" si="113"/>
        <v>0</v>
      </c>
      <c r="K126" s="268">
        <f t="shared" si="113"/>
        <v>0</v>
      </c>
      <c r="L126" s="268">
        <f t="shared" si="113"/>
        <v>0</v>
      </c>
      <c r="M126" s="268">
        <f t="shared" si="113"/>
        <v>0</v>
      </c>
      <c r="N126" s="268">
        <f t="shared" si="113"/>
        <v>0</v>
      </c>
      <c r="O126" s="268">
        <f t="shared" si="113"/>
        <v>0</v>
      </c>
      <c r="P126" s="268">
        <f t="shared" si="113"/>
        <v>0</v>
      </c>
      <c r="Q126" s="269">
        <f t="shared" si="113"/>
        <v>700</v>
      </c>
      <c r="R126" s="264">
        <f>SUM(R127:R129)</f>
        <v>700</v>
      </c>
      <c r="S126" s="265">
        <f t="shared" si="82"/>
        <v>0</v>
      </c>
      <c r="T126" s="275">
        <f t="shared" si="83"/>
        <v>700</v>
      </c>
      <c r="U126" s="267">
        <f t="shared" ref="U126:AC126" si="114">SUM(U127:U129)</f>
        <v>0</v>
      </c>
      <c r="V126" s="268">
        <f t="shared" si="114"/>
        <v>0</v>
      </c>
      <c r="W126" s="268">
        <f t="shared" si="114"/>
        <v>0</v>
      </c>
      <c r="X126" s="268">
        <f t="shared" si="114"/>
        <v>0</v>
      </c>
      <c r="Y126" s="268">
        <f t="shared" si="114"/>
        <v>0</v>
      </c>
      <c r="Z126" s="268">
        <f t="shared" si="114"/>
        <v>0</v>
      </c>
      <c r="AA126" s="268">
        <f t="shared" si="114"/>
        <v>0</v>
      </c>
      <c r="AB126" s="268">
        <f t="shared" si="114"/>
        <v>0</v>
      </c>
      <c r="AC126" s="269">
        <f t="shared" si="114"/>
        <v>700</v>
      </c>
      <c r="AD126" s="264">
        <f>SUM(AD127:AD129)</f>
        <v>0</v>
      </c>
      <c r="AE126" s="265">
        <f t="shared" si="61"/>
        <v>0</v>
      </c>
      <c r="AF126" s="266">
        <f t="shared" si="62"/>
        <v>0</v>
      </c>
      <c r="AG126" s="267">
        <f t="shared" ref="AG126:AO126" si="115">SUM(AG127:AG129)</f>
        <v>0</v>
      </c>
      <c r="AH126" s="268">
        <f t="shared" si="115"/>
        <v>0</v>
      </c>
      <c r="AI126" s="268">
        <f t="shared" si="115"/>
        <v>0</v>
      </c>
      <c r="AJ126" s="268">
        <f t="shared" si="115"/>
        <v>0</v>
      </c>
      <c r="AK126" s="268">
        <f t="shared" si="115"/>
        <v>0</v>
      </c>
      <c r="AL126" s="268">
        <f t="shared" si="115"/>
        <v>0</v>
      </c>
      <c r="AM126" s="268">
        <f t="shared" si="115"/>
        <v>0</v>
      </c>
      <c r="AN126" s="268">
        <f t="shared" si="115"/>
        <v>0</v>
      </c>
      <c r="AO126" s="269">
        <f t="shared" si="115"/>
        <v>0</v>
      </c>
      <c r="AP126" s="276">
        <v>500</v>
      </c>
      <c r="AQ126" s="276">
        <f>860-225</f>
        <v>635</v>
      </c>
      <c r="AR126" s="277">
        <f>AQ126*100/AP126</f>
        <v>127</v>
      </c>
      <c r="AS126" s="278">
        <f t="shared" si="63"/>
        <v>1</v>
      </c>
      <c r="AT126" s="279">
        <f t="shared" si="64"/>
        <v>1</v>
      </c>
      <c r="AU126" s="279">
        <f t="shared" si="65"/>
        <v>0</v>
      </c>
      <c r="AV126" s="279">
        <f t="shared" si="66"/>
        <v>0</v>
      </c>
    </row>
    <row r="127" spans="1:48" outlineLevel="1" x14ac:dyDescent="0.25">
      <c r="A127" s="4" t="s">
        <v>560</v>
      </c>
      <c r="B127" s="75" t="s">
        <v>112</v>
      </c>
      <c r="C127" s="25" t="s">
        <v>107</v>
      </c>
      <c r="D127" s="92">
        <v>0</v>
      </c>
      <c r="E127" s="110">
        <v>0</v>
      </c>
      <c r="F127" s="93">
        <f>D127*E127</f>
        <v>0</v>
      </c>
      <c r="G127" s="74">
        <f t="shared" si="71"/>
        <v>0</v>
      </c>
      <c r="H127" s="95">
        <f t="shared" si="112"/>
        <v>0</v>
      </c>
      <c r="I127" s="112">
        <v>0</v>
      </c>
      <c r="J127" s="57"/>
      <c r="K127" s="57"/>
      <c r="L127" s="57"/>
      <c r="M127" s="57"/>
      <c r="N127" s="57"/>
      <c r="O127" s="57"/>
      <c r="P127" s="68"/>
      <c r="Q127" s="58"/>
      <c r="R127" s="93">
        <f>P127*Q127</f>
        <v>0</v>
      </c>
      <c r="S127" s="74">
        <f t="shared" si="82"/>
        <v>0</v>
      </c>
      <c r="T127" s="95">
        <f t="shared" si="83"/>
        <v>0</v>
      </c>
      <c r="U127" s="112">
        <v>0</v>
      </c>
      <c r="V127" s="57"/>
      <c r="W127" s="57"/>
      <c r="X127" s="57"/>
      <c r="Y127" s="57"/>
      <c r="Z127" s="57"/>
      <c r="AA127" s="57"/>
      <c r="AB127" s="68"/>
      <c r="AC127" s="58"/>
      <c r="AD127" s="170">
        <f>P127*Q127</f>
        <v>0</v>
      </c>
      <c r="AE127" s="89">
        <f t="shared" si="61"/>
        <v>0</v>
      </c>
      <c r="AF127" s="216">
        <f t="shared" si="62"/>
        <v>0</v>
      </c>
      <c r="AG127" s="147">
        <v>0</v>
      </c>
      <c r="AH127" s="148"/>
      <c r="AI127" s="148"/>
      <c r="AJ127" s="148"/>
      <c r="AK127" s="148"/>
      <c r="AL127" s="148"/>
      <c r="AM127" s="148"/>
      <c r="AN127" s="149"/>
      <c r="AO127" s="150"/>
      <c r="AP127" s="76"/>
      <c r="AQ127" s="76"/>
      <c r="AR127" s="128"/>
      <c r="AS127" s="108"/>
      <c r="AT127" s="249"/>
      <c r="AU127" s="249"/>
      <c r="AV127" s="249"/>
    </row>
    <row r="128" spans="1:48" outlineLevel="1" x14ac:dyDescent="0.25">
      <c r="A128" s="4" t="s">
        <v>561</v>
      </c>
      <c r="B128" s="75" t="s">
        <v>113</v>
      </c>
      <c r="C128" s="25" t="s">
        <v>115</v>
      </c>
      <c r="D128" s="92">
        <v>1</v>
      </c>
      <c r="E128" s="110">
        <v>700</v>
      </c>
      <c r="F128" s="93">
        <f>D128*E128</f>
        <v>700</v>
      </c>
      <c r="G128" s="74">
        <f t="shared" si="71"/>
        <v>0</v>
      </c>
      <c r="H128" s="95">
        <f t="shared" si="112"/>
        <v>700</v>
      </c>
      <c r="I128" s="112">
        <v>0</v>
      </c>
      <c r="J128" s="57"/>
      <c r="K128" s="57"/>
      <c r="L128" s="57"/>
      <c r="M128" s="57"/>
      <c r="N128" s="57"/>
      <c r="O128" s="57"/>
      <c r="P128" s="68"/>
      <c r="Q128" s="58">
        <f>F128</f>
        <v>700</v>
      </c>
      <c r="R128" s="93">
        <v>700</v>
      </c>
      <c r="S128" s="74">
        <f t="shared" si="82"/>
        <v>0</v>
      </c>
      <c r="T128" s="95">
        <f t="shared" si="83"/>
        <v>700</v>
      </c>
      <c r="U128" s="112">
        <v>0</v>
      </c>
      <c r="V128" s="57"/>
      <c r="W128" s="57"/>
      <c r="X128" s="57"/>
      <c r="Y128" s="57"/>
      <c r="Z128" s="57"/>
      <c r="AA128" s="57"/>
      <c r="AB128" s="68"/>
      <c r="AC128" s="58">
        <f>R128</f>
        <v>700</v>
      </c>
      <c r="AD128" s="170">
        <f>P128*Q128</f>
        <v>0</v>
      </c>
      <c r="AE128" s="89">
        <f t="shared" si="61"/>
        <v>0</v>
      </c>
      <c r="AF128" s="216">
        <f t="shared" si="62"/>
        <v>0</v>
      </c>
      <c r="AG128" s="147">
        <v>0</v>
      </c>
      <c r="AH128" s="148"/>
      <c r="AI128" s="148"/>
      <c r="AJ128" s="148"/>
      <c r="AK128" s="148"/>
      <c r="AL128" s="148"/>
      <c r="AM128" s="148"/>
      <c r="AN128" s="149"/>
      <c r="AO128" s="150">
        <f>O128</f>
        <v>0</v>
      </c>
      <c r="AP128" s="76"/>
      <c r="AQ128" s="76"/>
      <c r="AR128" s="128"/>
      <c r="AS128" s="108">
        <f t="shared" si="63"/>
        <v>1</v>
      </c>
      <c r="AT128" s="249">
        <f t="shared" si="64"/>
        <v>1</v>
      </c>
      <c r="AU128" s="249">
        <f t="shared" si="65"/>
        <v>0</v>
      </c>
      <c r="AV128" s="249">
        <f t="shared" si="66"/>
        <v>0</v>
      </c>
    </row>
    <row r="129" spans="1:48" outlineLevel="1" x14ac:dyDescent="0.25">
      <c r="A129" s="4" t="s">
        <v>583</v>
      </c>
      <c r="B129" s="75" t="s">
        <v>114</v>
      </c>
      <c r="C129" s="25"/>
      <c r="D129" s="92">
        <v>0</v>
      </c>
      <c r="E129" s="110">
        <v>0</v>
      </c>
      <c r="F129" s="93">
        <f>D129*E129</f>
        <v>0</v>
      </c>
      <c r="G129" s="74">
        <f t="shared" si="71"/>
        <v>0</v>
      </c>
      <c r="H129" s="95">
        <f t="shared" si="112"/>
        <v>0</v>
      </c>
      <c r="I129" s="112">
        <v>0</v>
      </c>
      <c r="J129" s="57"/>
      <c r="K129" s="57"/>
      <c r="L129" s="57"/>
      <c r="M129" s="57"/>
      <c r="N129" s="57"/>
      <c r="O129" s="57"/>
      <c r="P129" s="68"/>
      <c r="Q129" s="58">
        <f>F129</f>
        <v>0</v>
      </c>
      <c r="R129" s="93">
        <f>P129*Q129</f>
        <v>0</v>
      </c>
      <c r="S129" s="74">
        <f t="shared" si="82"/>
        <v>0</v>
      </c>
      <c r="T129" s="95">
        <f t="shared" si="83"/>
        <v>0</v>
      </c>
      <c r="U129" s="112">
        <v>0</v>
      </c>
      <c r="V129" s="57"/>
      <c r="W129" s="57"/>
      <c r="X129" s="57"/>
      <c r="Y129" s="57"/>
      <c r="Z129" s="57"/>
      <c r="AA129" s="57"/>
      <c r="AB129" s="68"/>
      <c r="AC129" s="58">
        <f>R129</f>
        <v>0</v>
      </c>
      <c r="AD129" s="170">
        <f>P129*Q129</f>
        <v>0</v>
      </c>
      <c r="AE129" s="89">
        <f t="shared" si="61"/>
        <v>0</v>
      </c>
      <c r="AF129" s="216">
        <f t="shared" si="62"/>
        <v>0</v>
      </c>
      <c r="AG129" s="147">
        <v>0</v>
      </c>
      <c r="AH129" s="148"/>
      <c r="AI129" s="148"/>
      <c r="AJ129" s="148"/>
      <c r="AK129" s="148"/>
      <c r="AL129" s="148"/>
      <c r="AM129" s="148"/>
      <c r="AN129" s="149"/>
      <c r="AO129" s="150">
        <f>O129</f>
        <v>0</v>
      </c>
      <c r="AP129" s="76"/>
      <c r="AQ129" s="76"/>
      <c r="AR129" s="128"/>
      <c r="AS129" s="108"/>
      <c r="AT129" s="249"/>
      <c r="AU129" s="249"/>
      <c r="AV129" s="249"/>
    </row>
    <row r="130" spans="1:48" s="280" customFormat="1" ht="15.75" x14ac:dyDescent="0.25">
      <c r="A130" s="270" t="s">
        <v>568</v>
      </c>
      <c r="B130" s="271" t="s">
        <v>48</v>
      </c>
      <c r="C130" s="272"/>
      <c r="D130" s="273"/>
      <c r="E130" s="274"/>
      <c r="F130" s="264">
        <f>SUM(F131:F140)</f>
        <v>1750</v>
      </c>
      <c r="G130" s="265">
        <f t="shared" si="71"/>
        <v>0</v>
      </c>
      <c r="H130" s="275">
        <f t="shared" si="112"/>
        <v>1750</v>
      </c>
      <c r="I130" s="267">
        <f t="shared" ref="I130:Q130" si="116">SUM(I131:I140)</f>
        <v>1750</v>
      </c>
      <c r="J130" s="268">
        <f t="shared" si="116"/>
        <v>0</v>
      </c>
      <c r="K130" s="268">
        <f t="shared" si="116"/>
        <v>0</v>
      </c>
      <c r="L130" s="268">
        <f t="shared" si="116"/>
        <v>0</v>
      </c>
      <c r="M130" s="268">
        <f t="shared" si="116"/>
        <v>0</v>
      </c>
      <c r="N130" s="268">
        <f t="shared" si="116"/>
        <v>0</v>
      </c>
      <c r="O130" s="268">
        <f t="shared" si="116"/>
        <v>0</v>
      </c>
      <c r="P130" s="268">
        <f t="shared" si="116"/>
        <v>0</v>
      </c>
      <c r="Q130" s="269">
        <f t="shared" si="116"/>
        <v>0</v>
      </c>
      <c r="R130" s="264">
        <f>SUM(R131:R140)</f>
        <v>1750</v>
      </c>
      <c r="S130" s="265">
        <f t="shared" si="82"/>
        <v>0</v>
      </c>
      <c r="T130" s="275">
        <f t="shared" si="83"/>
        <v>1750</v>
      </c>
      <c r="U130" s="267">
        <f t="shared" ref="U130:AC130" si="117">SUM(U131:U140)</f>
        <v>1750</v>
      </c>
      <c r="V130" s="268">
        <f t="shared" si="117"/>
        <v>0</v>
      </c>
      <c r="W130" s="268">
        <f t="shared" si="117"/>
        <v>0</v>
      </c>
      <c r="X130" s="268">
        <f t="shared" si="117"/>
        <v>0</v>
      </c>
      <c r="Y130" s="268">
        <f t="shared" si="117"/>
        <v>0</v>
      </c>
      <c r="Z130" s="268">
        <f t="shared" si="117"/>
        <v>0</v>
      </c>
      <c r="AA130" s="268">
        <f t="shared" si="117"/>
        <v>0</v>
      </c>
      <c r="AB130" s="268">
        <f t="shared" si="117"/>
        <v>0</v>
      </c>
      <c r="AC130" s="269">
        <f t="shared" si="117"/>
        <v>0</v>
      </c>
      <c r="AD130" s="264">
        <f>SUM(AD131:AD140)</f>
        <v>0</v>
      </c>
      <c r="AE130" s="265">
        <f t="shared" si="61"/>
        <v>0</v>
      </c>
      <c r="AF130" s="266">
        <f t="shared" si="62"/>
        <v>0</v>
      </c>
      <c r="AG130" s="267">
        <f t="shared" ref="AG130:AO130" si="118">SUM(AG131:AG140)</f>
        <v>0</v>
      </c>
      <c r="AH130" s="268">
        <f t="shared" si="118"/>
        <v>0</v>
      </c>
      <c r="AI130" s="268">
        <f t="shared" si="118"/>
        <v>0</v>
      </c>
      <c r="AJ130" s="268">
        <f t="shared" si="118"/>
        <v>0</v>
      </c>
      <c r="AK130" s="268">
        <f t="shared" si="118"/>
        <v>0</v>
      </c>
      <c r="AL130" s="268">
        <f t="shared" si="118"/>
        <v>0</v>
      </c>
      <c r="AM130" s="268">
        <f t="shared" si="118"/>
        <v>0</v>
      </c>
      <c r="AN130" s="268">
        <f t="shared" si="118"/>
        <v>0</v>
      </c>
      <c r="AO130" s="269">
        <f t="shared" si="118"/>
        <v>0</v>
      </c>
      <c r="AP130" s="276">
        <v>750</v>
      </c>
      <c r="AQ130" s="276">
        <v>800</v>
      </c>
      <c r="AR130" s="277">
        <f>AQ130*100/AP130</f>
        <v>106.66666666666667</v>
      </c>
      <c r="AS130" s="278">
        <f t="shared" si="63"/>
        <v>1</v>
      </c>
      <c r="AT130" s="279">
        <f t="shared" si="64"/>
        <v>1</v>
      </c>
      <c r="AU130" s="279">
        <f t="shared" si="65"/>
        <v>0</v>
      </c>
      <c r="AV130" s="279">
        <f t="shared" si="66"/>
        <v>0</v>
      </c>
    </row>
    <row r="131" spans="1:48" outlineLevel="1" x14ac:dyDescent="0.25">
      <c r="A131" s="4" t="s">
        <v>569</v>
      </c>
      <c r="B131" s="75" t="s">
        <v>49</v>
      </c>
      <c r="C131" s="25" t="s">
        <v>976</v>
      </c>
      <c r="D131" s="92">
        <v>1</v>
      </c>
      <c r="E131" s="110">
        <v>400</v>
      </c>
      <c r="F131" s="93">
        <f t="shared" ref="F131:F140" si="119">D131*E131</f>
        <v>400</v>
      </c>
      <c r="G131" s="74">
        <f t="shared" si="71"/>
        <v>0</v>
      </c>
      <c r="H131" s="95">
        <f t="shared" si="112"/>
        <v>400</v>
      </c>
      <c r="I131" s="112">
        <f>F131</f>
        <v>400</v>
      </c>
      <c r="J131" s="57"/>
      <c r="K131" s="57"/>
      <c r="L131" s="57"/>
      <c r="M131" s="57"/>
      <c r="N131" s="57"/>
      <c r="O131" s="57"/>
      <c r="P131" s="68"/>
      <c r="Q131" s="58"/>
      <c r="R131" s="93">
        <v>400</v>
      </c>
      <c r="S131" s="74">
        <f t="shared" si="82"/>
        <v>0</v>
      </c>
      <c r="T131" s="95">
        <f t="shared" si="83"/>
        <v>400</v>
      </c>
      <c r="U131" s="112">
        <f>R131</f>
        <v>400</v>
      </c>
      <c r="V131" s="57"/>
      <c r="W131" s="57"/>
      <c r="X131" s="57"/>
      <c r="Y131" s="57"/>
      <c r="Z131" s="57"/>
      <c r="AA131" s="57"/>
      <c r="AB131" s="68"/>
      <c r="AC131" s="58"/>
      <c r="AD131" s="170">
        <f t="shared" ref="AD131:AD140" si="120">P131*Q131</f>
        <v>0</v>
      </c>
      <c r="AE131" s="89">
        <f t="shared" si="61"/>
        <v>0</v>
      </c>
      <c r="AF131" s="216">
        <f t="shared" si="62"/>
        <v>0</v>
      </c>
      <c r="AG131" s="147">
        <f t="shared" ref="AG131:AG140" si="121">Q131</f>
        <v>0</v>
      </c>
      <c r="AH131" s="148"/>
      <c r="AI131" s="148"/>
      <c r="AJ131" s="148"/>
      <c r="AK131" s="148"/>
      <c r="AL131" s="148"/>
      <c r="AM131" s="148"/>
      <c r="AN131" s="149"/>
      <c r="AO131" s="150"/>
      <c r="AP131" s="76"/>
      <c r="AQ131" s="76"/>
      <c r="AR131" s="128"/>
      <c r="AS131" s="108">
        <f t="shared" si="63"/>
        <v>1</v>
      </c>
      <c r="AT131" s="249">
        <f t="shared" si="64"/>
        <v>1</v>
      </c>
      <c r="AU131" s="249">
        <f t="shared" si="65"/>
        <v>0</v>
      </c>
      <c r="AV131" s="249">
        <f t="shared" si="66"/>
        <v>0</v>
      </c>
    </row>
    <row r="132" spans="1:48" outlineLevel="1" x14ac:dyDescent="0.25">
      <c r="A132" s="4" t="s">
        <v>570</v>
      </c>
      <c r="B132" s="75" t="s">
        <v>55</v>
      </c>
      <c r="C132" s="25"/>
      <c r="D132" s="92">
        <v>1</v>
      </c>
      <c r="E132" s="110">
        <v>150</v>
      </c>
      <c r="F132" s="93">
        <f t="shared" si="119"/>
        <v>150</v>
      </c>
      <c r="G132" s="74">
        <f t="shared" si="71"/>
        <v>0</v>
      </c>
      <c r="H132" s="95">
        <f t="shared" si="112"/>
        <v>150</v>
      </c>
      <c r="I132" s="112">
        <f t="shared" ref="I132:I140" si="122">F132</f>
        <v>150</v>
      </c>
      <c r="J132" s="57"/>
      <c r="K132" s="57"/>
      <c r="L132" s="57"/>
      <c r="M132" s="57"/>
      <c r="N132" s="57"/>
      <c r="O132" s="57"/>
      <c r="P132" s="68"/>
      <c r="Q132" s="58"/>
      <c r="R132" s="93">
        <v>150</v>
      </c>
      <c r="S132" s="74">
        <f t="shared" si="82"/>
        <v>0</v>
      </c>
      <c r="T132" s="95">
        <f t="shared" si="83"/>
        <v>150</v>
      </c>
      <c r="U132" s="112">
        <f t="shared" ref="U132:U140" si="123">R132</f>
        <v>150</v>
      </c>
      <c r="V132" s="57"/>
      <c r="W132" s="57"/>
      <c r="X132" s="57"/>
      <c r="Y132" s="57"/>
      <c r="Z132" s="57"/>
      <c r="AA132" s="57"/>
      <c r="AB132" s="68"/>
      <c r="AC132" s="58"/>
      <c r="AD132" s="170">
        <f t="shared" si="120"/>
        <v>0</v>
      </c>
      <c r="AE132" s="89">
        <f t="shared" si="61"/>
        <v>0</v>
      </c>
      <c r="AF132" s="216">
        <f t="shared" si="62"/>
        <v>0</v>
      </c>
      <c r="AG132" s="147">
        <f t="shared" si="121"/>
        <v>0</v>
      </c>
      <c r="AH132" s="148"/>
      <c r="AI132" s="148"/>
      <c r="AJ132" s="148"/>
      <c r="AK132" s="148"/>
      <c r="AL132" s="148"/>
      <c r="AM132" s="148"/>
      <c r="AN132" s="149"/>
      <c r="AO132" s="150"/>
      <c r="AP132" s="76"/>
      <c r="AQ132" s="76"/>
      <c r="AR132" s="128"/>
      <c r="AS132" s="108">
        <f t="shared" si="63"/>
        <v>1</v>
      </c>
      <c r="AT132" s="249">
        <f t="shared" si="64"/>
        <v>1</v>
      </c>
      <c r="AU132" s="249">
        <f t="shared" si="65"/>
        <v>0</v>
      </c>
      <c r="AV132" s="249">
        <f t="shared" si="66"/>
        <v>0</v>
      </c>
    </row>
    <row r="133" spans="1:48" outlineLevel="1" x14ac:dyDescent="0.25">
      <c r="A133" s="4" t="s">
        <v>571</v>
      </c>
      <c r="B133" s="75" t="s">
        <v>581</v>
      </c>
      <c r="C133" s="25"/>
      <c r="D133" s="92">
        <v>1</v>
      </c>
      <c r="E133" s="110">
        <v>150</v>
      </c>
      <c r="F133" s="93">
        <f t="shared" si="119"/>
        <v>150</v>
      </c>
      <c r="G133" s="74">
        <f t="shared" si="71"/>
        <v>0</v>
      </c>
      <c r="H133" s="95">
        <f t="shared" si="112"/>
        <v>150</v>
      </c>
      <c r="I133" s="112">
        <f t="shared" si="122"/>
        <v>150</v>
      </c>
      <c r="J133" s="57"/>
      <c r="K133" s="57"/>
      <c r="L133" s="57"/>
      <c r="M133" s="57"/>
      <c r="N133" s="57"/>
      <c r="O133" s="57"/>
      <c r="P133" s="68"/>
      <c r="Q133" s="58"/>
      <c r="R133" s="93">
        <v>150</v>
      </c>
      <c r="S133" s="74">
        <f t="shared" si="82"/>
        <v>0</v>
      </c>
      <c r="T133" s="95">
        <f t="shared" si="83"/>
        <v>150</v>
      </c>
      <c r="U133" s="112">
        <f t="shared" si="123"/>
        <v>150</v>
      </c>
      <c r="V133" s="57"/>
      <c r="W133" s="57"/>
      <c r="X133" s="57"/>
      <c r="Y133" s="57"/>
      <c r="Z133" s="57"/>
      <c r="AA133" s="57"/>
      <c r="AB133" s="68"/>
      <c r="AC133" s="58"/>
      <c r="AD133" s="170">
        <f t="shared" si="120"/>
        <v>0</v>
      </c>
      <c r="AE133" s="89">
        <f t="shared" ref="AE133:AE198" si="124">AF133-AD133</f>
        <v>0</v>
      </c>
      <c r="AF133" s="216">
        <f t="shared" ref="AF133:AF198" si="125">+AG133+AH133+AI133+AJ133+AK133+AL133+AM133+AN133+AO133</f>
        <v>0</v>
      </c>
      <c r="AG133" s="147">
        <f t="shared" si="121"/>
        <v>0</v>
      </c>
      <c r="AH133" s="148"/>
      <c r="AI133" s="148"/>
      <c r="AJ133" s="148"/>
      <c r="AK133" s="148"/>
      <c r="AL133" s="148"/>
      <c r="AM133" s="148"/>
      <c r="AN133" s="149"/>
      <c r="AO133" s="150"/>
      <c r="AP133" s="76"/>
      <c r="AQ133" s="76"/>
      <c r="AR133" s="128"/>
      <c r="AS133" s="108">
        <f t="shared" ref="AS133:AS196" si="126">+R133/F133</f>
        <v>1</v>
      </c>
      <c r="AT133" s="249">
        <f t="shared" ref="AT133:AT196" si="127">+T133/H133</f>
        <v>1</v>
      </c>
      <c r="AU133" s="249">
        <f t="shared" ref="AU133:AU196" si="128">+AD133/F133</f>
        <v>0</v>
      </c>
      <c r="AV133" s="249">
        <f t="shared" ref="AV133:AV196" si="129">+AF133/H133</f>
        <v>0</v>
      </c>
    </row>
    <row r="134" spans="1:48" outlineLevel="1" x14ac:dyDescent="0.25">
      <c r="A134" s="4" t="s">
        <v>572</v>
      </c>
      <c r="B134" s="75" t="s">
        <v>582</v>
      </c>
      <c r="C134" s="25"/>
      <c r="D134" s="92">
        <v>1</v>
      </c>
      <c r="E134" s="110">
        <v>150</v>
      </c>
      <c r="F134" s="93">
        <f t="shared" si="119"/>
        <v>150</v>
      </c>
      <c r="G134" s="74">
        <f t="shared" si="71"/>
        <v>0</v>
      </c>
      <c r="H134" s="95">
        <f t="shared" si="112"/>
        <v>150</v>
      </c>
      <c r="I134" s="112">
        <f t="shared" si="122"/>
        <v>150</v>
      </c>
      <c r="J134" s="57"/>
      <c r="K134" s="57"/>
      <c r="L134" s="57"/>
      <c r="M134" s="57"/>
      <c r="N134" s="57"/>
      <c r="O134" s="57"/>
      <c r="P134" s="68"/>
      <c r="Q134" s="58"/>
      <c r="R134" s="93">
        <v>150</v>
      </c>
      <c r="S134" s="74">
        <f t="shared" si="82"/>
        <v>0</v>
      </c>
      <c r="T134" s="95">
        <f t="shared" si="83"/>
        <v>150</v>
      </c>
      <c r="U134" s="112">
        <f t="shared" si="123"/>
        <v>150</v>
      </c>
      <c r="V134" s="57"/>
      <c r="W134" s="57"/>
      <c r="X134" s="57"/>
      <c r="Y134" s="57"/>
      <c r="Z134" s="57"/>
      <c r="AA134" s="57"/>
      <c r="AB134" s="68"/>
      <c r="AC134" s="58"/>
      <c r="AD134" s="170">
        <f t="shared" si="120"/>
        <v>0</v>
      </c>
      <c r="AE134" s="89">
        <f t="shared" si="124"/>
        <v>0</v>
      </c>
      <c r="AF134" s="216">
        <f t="shared" si="125"/>
        <v>0</v>
      </c>
      <c r="AG134" s="147">
        <f t="shared" si="121"/>
        <v>0</v>
      </c>
      <c r="AH134" s="148"/>
      <c r="AI134" s="148"/>
      <c r="AJ134" s="148"/>
      <c r="AK134" s="148"/>
      <c r="AL134" s="148"/>
      <c r="AM134" s="148"/>
      <c r="AN134" s="149"/>
      <c r="AO134" s="150"/>
      <c r="AP134" s="76"/>
      <c r="AQ134" s="76"/>
      <c r="AR134" s="128"/>
      <c r="AS134" s="108">
        <f t="shared" si="126"/>
        <v>1</v>
      </c>
      <c r="AT134" s="249">
        <f t="shared" si="127"/>
        <v>1</v>
      </c>
      <c r="AU134" s="249">
        <f t="shared" si="128"/>
        <v>0</v>
      </c>
      <c r="AV134" s="249">
        <f t="shared" si="129"/>
        <v>0</v>
      </c>
    </row>
    <row r="135" spans="1:48" outlineLevel="1" x14ac:dyDescent="0.25">
      <c r="A135" s="4" t="s">
        <v>1048</v>
      </c>
      <c r="B135" s="75" t="s">
        <v>50</v>
      </c>
      <c r="C135" s="25"/>
      <c r="D135" s="92">
        <v>1</v>
      </c>
      <c r="E135" s="110">
        <v>150</v>
      </c>
      <c r="F135" s="93">
        <f t="shared" si="119"/>
        <v>150</v>
      </c>
      <c r="G135" s="74">
        <f t="shared" si="71"/>
        <v>0</v>
      </c>
      <c r="H135" s="95">
        <f t="shared" si="112"/>
        <v>150</v>
      </c>
      <c r="I135" s="112">
        <f t="shared" si="122"/>
        <v>150</v>
      </c>
      <c r="J135" s="57"/>
      <c r="K135" s="57"/>
      <c r="L135" s="57"/>
      <c r="M135" s="57"/>
      <c r="N135" s="57"/>
      <c r="O135" s="57"/>
      <c r="P135" s="68"/>
      <c r="Q135" s="58"/>
      <c r="R135" s="93">
        <v>150</v>
      </c>
      <c r="S135" s="74">
        <f t="shared" si="82"/>
        <v>0</v>
      </c>
      <c r="T135" s="95">
        <f t="shared" si="83"/>
        <v>150</v>
      </c>
      <c r="U135" s="112">
        <f t="shared" si="123"/>
        <v>150</v>
      </c>
      <c r="V135" s="57"/>
      <c r="W135" s="57"/>
      <c r="X135" s="57"/>
      <c r="Y135" s="57"/>
      <c r="Z135" s="57"/>
      <c r="AA135" s="57"/>
      <c r="AB135" s="68"/>
      <c r="AC135" s="58"/>
      <c r="AD135" s="170">
        <f t="shared" si="120"/>
        <v>0</v>
      </c>
      <c r="AE135" s="89">
        <f t="shared" si="124"/>
        <v>0</v>
      </c>
      <c r="AF135" s="216">
        <f t="shared" si="125"/>
        <v>0</v>
      </c>
      <c r="AG135" s="147">
        <f t="shared" si="121"/>
        <v>0</v>
      </c>
      <c r="AH135" s="148"/>
      <c r="AI135" s="148"/>
      <c r="AJ135" s="148"/>
      <c r="AK135" s="148"/>
      <c r="AL135" s="148"/>
      <c r="AM135" s="148"/>
      <c r="AN135" s="149"/>
      <c r="AO135" s="150"/>
      <c r="AP135" s="76"/>
      <c r="AQ135" s="76"/>
      <c r="AR135" s="128"/>
      <c r="AS135" s="108">
        <f t="shared" si="126"/>
        <v>1</v>
      </c>
      <c r="AT135" s="249">
        <f t="shared" si="127"/>
        <v>1</v>
      </c>
      <c r="AU135" s="249">
        <f t="shared" si="128"/>
        <v>0</v>
      </c>
      <c r="AV135" s="249">
        <f t="shared" si="129"/>
        <v>0</v>
      </c>
    </row>
    <row r="136" spans="1:48" outlineLevel="1" x14ac:dyDescent="0.25">
      <c r="A136" s="4" t="s">
        <v>1049</v>
      </c>
      <c r="B136" s="75" t="s">
        <v>51</v>
      </c>
      <c r="C136" s="25"/>
      <c r="D136" s="92">
        <v>1</v>
      </c>
      <c r="E136" s="110">
        <v>150</v>
      </c>
      <c r="F136" s="93">
        <f t="shared" si="119"/>
        <v>150</v>
      </c>
      <c r="G136" s="74">
        <f t="shared" si="71"/>
        <v>0</v>
      </c>
      <c r="H136" s="95">
        <f t="shared" si="112"/>
        <v>150</v>
      </c>
      <c r="I136" s="112">
        <f t="shared" si="122"/>
        <v>150</v>
      </c>
      <c r="J136" s="57"/>
      <c r="K136" s="57"/>
      <c r="L136" s="57"/>
      <c r="M136" s="57"/>
      <c r="N136" s="57"/>
      <c r="O136" s="57"/>
      <c r="P136" s="68"/>
      <c r="Q136" s="58"/>
      <c r="R136" s="93">
        <v>150</v>
      </c>
      <c r="S136" s="74">
        <f t="shared" si="82"/>
        <v>0</v>
      </c>
      <c r="T136" s="95">
        <f t="shared" si="83"/>
        <v>150</v>
      </c>
      <c r="U136" s="112">
        <f t="shared" si="123"/>
        <v>150</v>
      </c>
      <c r="V136" s="57"/>
      <c r="W136" s="57"/>
      <c r="X136" s="57"/>
      <c r="Y136" s="57"/>
      <c r="Z136" s="57"/>
      <c r="AA136" s="57"/>
      <c r="AB136" s="68"/>
      <c r="AC136" s="58"/>
      <c r="AD136" s="170">
        <f t="shared" si="120"/>
        <v>0</v>
      </c>
      <c r="AE136" s="89">
        <f t="shared" si="124"/>
        <v>0</v>
      </c>
      <c r="AF136" s="216">
        <f t="shared" si="125"/>
        <v>0</v>
      </c>
      <c r="AG136" s="147">
        <f t="shared" si="121"/>
        <v>0</v>
      </c>
      <c r="AH136" s="148"/>
      <c r="AI136" s="148"/>
      <c r="AJ136" s="148"/>
      <c r="AK136" s="148"/>
      <c r="AL136" s="148"/>
      <c r="AM136" s="148"/>
      <c r="AN136" s="149"/>
      <c r="AO136" s="150"/>
      <c r="AP136" s="76"/>
      <c r="AQ136" s="76"/>
      <c r="AR136" s="128"/>
      <c r="AS136" s="108">
        <f t="shared" si="126"/>
        <v>1</v>
      </c>
      <c r="AT136" s="249">
        <f t="shared" si="127"/>
        <v>1</v>
      </c>
      <c r="AU136" s="249">
        <f t="shared" si="128"/>
        <v>0</v>
      </c>
      <c r="AV136" s="249">
        <f t="shared" si="129"/>
        <v>0</v>
      </c>
    </row>
    <row r="137" spans="1:48" outlineLevel="1" x14ac:dyDescent="0.25">
      <c r="A137" s="4" t="s">
        <v>1050</v>
      </c>
      <c r="B137" s="75" t="s">
        <v>52</v>
      </c>
      <c r="C137" s="25"/>
      <c r="D137" s="92">
        <v>1</v>
      </c>
      <c r="E137" s="110">
        <v>150</v>
      </c>
      <c r="F137" s="93">
        <f t="shared" si="119"/>
        <v>150</v>
      </c>
      <c r="G137" s="74">
        <f t="shared" si="71"/>
        <v>0</v>
      </c>
      <c r="H137" s="95">
        <f t="shared" si="112"/>
        <v>150</v>
      </c>
      <c r="I137" s="112">
        <f t="shared" si="122"/>
        <v>150</v>
      </c>
      <c r="J137" s="57"/>
      <c r="K137" s="57"/>
      <c r="L137" s="57"/>
      <c r="M137" s="57"/>
      <c r="N137" s="57"/>
      <c r="O137" s="57"/>
      <c r="P137" s="68"/>
      <c r="Q137" s="58"/>
      <c r="R137" s="93">
        <v>150</v>
      </c>
      <c r="S137" s="74">
        <f t="shared" si="82"/>
        <v>0</v>
      </c>
      <c r="T137" s="95">
        <f t="shared" si="83"/>
        <v>150</v>
      </c>
      <c r="U137" s="112">
        <f t="shared" si="123"/>
        <v>150</v>
      </c>
      <c r="V137" s="57"/>
      <c r="W137" s="57"/>
      <c r="X137" s="57"/>
      <c r="Y137" s="57"/>
      <c r="Z137" s="57"/>
      <c r="AA137" s="57"/>
      <c r="AB137" s="68"/>
      <c r="AC137" s="58"/>
      <c r="AD137" s="170">
        <f t="shared" si="120"/>
        <v>0</v>
      </c>
      <c r="AE137" s="89">
        <f t="shared" si="124"/>
        <v>0</v>
      </c>
      <c r="AF137" s="216">
        <f t="shared" si="125"/>
        <v>0</v>
      </c>
      <c r="AG137" s="147">
        <f t="shared" si="121"/>
        <v>0</v>
      </c>
      <c r="AH137" s="148"/>
      <c r="AI137" s="148"/>
      <c r="AJ137" s="148"/>
      <c r="AK137" s="148"/>
      <c r="AL137" s="148"/>
      <c r="AM137" s="148"/>
      <c r="AN137" s="149"/>
      <c r="AO137" s="150"/>
      <c r="AP137" s="76"/>
      <c r="AQ137" s="76"/>
      <c r="AR137" s="128"/>
      <c r="AS137" s="108">
        <f t="shared" si="126"/>
        <v>1</v>
      </c>
      <c r="AT137" s="249">
        <f t="shared" si="127"/>
        <v>1</v>
      </c>
      <c r="AU137" s="249">
        <f t="shared" si="128"/>
        <v>0</v>
      </c>
      <c r="AV137" s="249">
        <f t="shared" si="129"/>
        <v>0</v>
      </c>
    </row>
    <row r="138" spans="1:48" outlineLevel="1" x14ac:dyDescent="0.25">
      <c r="A138" s="4" t="s">
        <v>1051</v>
      </c>
      <c r="B138" s="75" t="s">
        <v>53</v>
      </c>
      <c r="C138" s="25"/>
      <c r="D138" s="92">
        <v>1</v>
      </c>
      <c r="E138" s="110">
        <v>150</v>
      </c>
      <c r="F138" s="93">
        <f t="shared" si="119"/>
        <v>150</v>
      </c>
      <c r="G138" s="74">
        <f t="shared" si="71"/>
        <v>0</v>
      </c>
      <c r="H138" s="95">
        <f t="shared" si="112"/>
        <v>150</v>
      </c>
      <c r="I138" s="112">
        <f t="shared" si="122"/>
        <v>150</v>
      </c>
      <c r="J138" s="57"/>
      <c r="K138" s="57"/>
      <c r="L138" s="57"/>
      <c r="M138" s="57"/>
      <c r="N138" s="57"/>
      <c r="O138" s="57"/>
      <c r="P138" s="68"/>
      <c r="Q138" s="58"/>
      <c r="R138" s="93">
        <v>150</v>
      </c>
      <c r="S138" s="74">
        <f t="shared" si="82"/>
        <v>0</v>
      </c>
      <c r="T138" s="95">
        <f t="shared" si="83"/>
        <v>150</v>
      </c>
      <c r="U138" s="112">
        <f t="shared" si="123"/>
        <v>150</v>
      </c>
      <c r="V138" s="57"/>
      <c r="W138" s="57"/>
      <c r="X138" s="57"/>
      <c r="Y138" s="57"/>
      <c r="Z138" s="57"/>
      <c r="AA138" s="57"/>
      <c r="AB138" s="68"/>
      <c r="AC138" s="58"/>
      <c r="AD138" s="170">
        <f t="shared" si="120"/>
        <v>0</v>
      </c>
      <c r="AE138" s="89">
        <f t="shared" si="124"/>
        <v>0</v>
      </c>
      <c r="AF138" s="216">
        <f t="shared" si="125"/>
        <v>0</v>
      </c>
      <c r="AG138" s="147">
        <f t="shared" si="121"/>
        <v>0</v>
      </c>
      <c r="AH138" s="148"/>
      <c r="AI138" s="148"/>
      <c r="AJ138" s="148"/>
      <c r="AK138" s="148"/>
      <c r="AL138" s="148"/>
      <c r="AM138" s="148"/>
      <c r="AN138" s="149"/>
      <c r="AO138" s="150"/>
      <c r="AP138" s="76"/>
      <c r="AQ138" s="76"/>
      <c r="AR138" s="128"/>
      <c r="AS138" s="108">
        <f t="shared" si="126"/>
        <v>1</v>
      </c>
      <c r="AT138" s="249">
        <f t="shared" si="127"/>
        <v>1</v>
      </c>
      <c r="AU138" s="249">
        <f t="shared" si="128"/>
        <v>0</v>
      </c>
      <c r="AV138" s="249">
        <f t="shared" si="129"/>
        <v>0</v>
      </c>
    </row>
    <row r="139" spans="1:48" outlineLevel="1" x14ac:dyDescent="0.25">
      <c r="A139" s="4" t="s">
        <v>1052</v>
      </c>
      <c r="B139" s="75" t="s">
        <v>54</v>
      </c>
      <c r="C139" s="25"/>
      <c r="D139" s="92">
        <v>1</v>
      </c>
      <c r="E139" s="110">
        <v>150</v>
      </c>
      <c r="F139" s="93">
        <f t="shared" si="119"/>
        <v>150</v>
      </c>
      <c r="G139" s="74">
        <f t="shared" si="71"/>
        <v>0</v>
      </c>
      <c r="H139" s="95">
        <f t="shared" si="112"/>
        <v>150</v>
      </c>
      <c r="I139" s="112">
        <f t="shared" si="122"/>
        <v>150</v>
      </c>
      <c r="J139" s="57"/>
      <c r="K139" s="57"/>
      <c r="L139" s="57"/>
      <c r="M139" s="57"/>
      <c r="N139" s="57"/>
      <c r="O139" s="57"/>
      <c r="P139" s="68"/>
      <c r="Q139" s="58"/>
      <c r="R139" s="93">
        <v>150</v>
      </c>
      <c r="S139" s="74">
        <f t="shared" si="82"/>
        <v>0</v>
      </c>
      <c r="T139" s="95">
        <f t="shared" si="83"/>
        <v>150</v>
      </c>
      <c r="U139" s="112">
        <f t="shared" si="123"/>
        <v>150</v>
      </c>
      <c r="V139" s="57"/>
      <c r="W139" s="57"/>
      <c r="X139" s="57"/>
      <c r="Y139" s="57"/>
      <c r="Z139" s="57"/>
      <c r="AA139" s="57"/>
      <c r="AB139" s="68"/>
      <c r="AC139" s="58"/>
      <c r="AD139" s="170">
        <f t="shared" si="120"/>
        <v>0</v>
      </c>
      <c r="AE139" s="89">
        <f t="shared" si="124"/>
        <v>0</v>
      </c>
      <c r="AF139" s="216">
        <f t="shared" si="125"/>
        <v>0</v>
      </c>
      <c r="AG139" s="147">
        <f t="shared" si="121"/>
        <v>0</v>
      </c>
      <c r="AH139" s="148"/>
      <c r="AI139" s="148"/>
      <c r="AJ139" s="148"/>
      <c r="AK139" s="148"/>
      <c r="AL139" s="148"/>
      <c r="AM139" s="148"/>
      <c r="AN139" s="149"/>
      <c r="AO139" s="150"/>
      <c r="AP139" s="76"/>
      <c r="AQ139" s="76"/>
      <c r="AR139" s="128"/>
      <c r="AS139" s="108">
        <f t="shared" si="126"/>
        <v>1</v>
      </c>
      <c r="AT139" s="249">
        <f t="shared" si="127"/>
        <v>1</v>
      </c>
      <c r="AU139" s="249">
        <f t="shared" si="128"/>
        <v>0</v>
      </c>
      <c r="AV139" s="249">
        <f t="shared" si="129"/>
        <v>0</v>
      </c>
    </row>
    <row r="140" spans="1:48" outlineLevel="1" x14ac:dyDescent="0.25">
      <c r="A140" s="4" t="s">
        <v>1053</v>
      </c>
      <c r="B140" s="75" t="s">
        <v>86</v>
      </c>
      <c r="C140" s="25"/>
      <c r="D140" s="92">
        <v>1</v>
      </c>
      <c r="E140" s="110">
        <v>150</v>
      </c>
      <c r="F140" s="93">
        <f t="shared" si="119"/>
        <v>150</v>
      </c>
      <c r="G140" s="74">
        <f t="shared" si="71"/>
        <v>0</v>
      </c>
      <c r="H140" s="95">
        <f t="shared" si="112"/>
        <v>150</v>
      </c>
      <c r="I140" s="112">
        <f t="shared" si="122"/>
        <v>150</v>
      </c>
      <c r="J140" s="57"/>
      <c r="K140" s="57"/>
      <c r="L140" s="57"/>
      <c r="M140" s="57"/>
      <c r="N140" s="57"/>
      <c r="O140" s="57"/>
      <c r="P140" s="68"/>
      <c r="Q140" s="58"/>
      <c r="R140" s="93">
        <v>150</v>
      </c>
      <c r="S140" s="74">
        <f t="shared" si="82"/>
        <v>0</v>
      </c>
      <c r="T140" s="95">
        <f t="shared" si="83"/>
        <v>150</v>
      </c>
      <c r="U140" s="112">
        <f t="shared" si="123"/>
        <v>150</v>
      </c>
      <c r="V140" s="57"/>
      <c r="W140" s="57"/>
      <c r="X140" s="57"/>
      <c r="Y140" s="57"/>
      <c r="Z140" s="57"/>
      <c r="AA140" s="57"/>
      <c r="AB140" s="68"/>
      <c r="AC140" s="58"/>
      <c r="AD140" s="170">
        <f t="shared" si="120"/>
        <v>0</v>
      </c>
      <c r="AE140" s="89">
        <f t="shared" si="124"/>
        <v>0</v>
      </c>
      <c r="AF140" s="216">
        <f t="shared" si="125"/>
        <v>0</v>
      </c>
      <c r="AG140" s="147">
        <f t="shared" si="121"/>
        <v>0</v>
      </c>
      <c r="AH140" s="148"/>
      <c r="AI140" s="148"/>
      <c r="AJ140" s="148"/>
      <c r="AK140" s="148"/>
      <c r="AL140" s="148"/>
      <c r="AM140" s="148"/>
      <c r="AN140" s="149"/>
      <c r="AO140" s="150"/>
      <c r="AP140" s="76"/>
      <c r="AQ140" s="76"/>
      <c r="AR140" s="128"/>
      <c r="AS140" s="108">
        <f t="shared" si="126"/>
        <v>1</v>
      </c>
      <c r="AT140" s="249">
        <f t="shared" si="127"/>
        <v>1</v>
      </c>
      <c r="AU140" s="249">
        <f t="shared" si="128"/>
        <v>0</v>
      </c>
      <c r="AV140" s="249">
        <f t="shared" si="129"/>
        <v>0</v>
      </c>
    </row>
    <row r="141" spans="1:48" s="280" customFormat="1" ht="15.75" x14ac:dyDescent="0.25">
      <c r="A141" s="270" t="s">
        <v>573</v>
      </c>
      <c r="B141" s="271" t="s">
        <v>56</v>
      </c>
      <c r="C141" s="272"/>
      <c r="D141" s="273"/>
      <c r="E141" s="274"/>
      <c r="F141" s="264">
        <f>SUM(F142:F145)</f>
        <v>2000</v>
      </c>
      <c r="G141" s="265">
        <f t="shared" si="71"/>
        <v>0</v>
      </c>
      <c r="H141" s="275">
        <f t="shared" si="112"/>
        <v>2000</v>
      </c>
      <c r="I141" s="267">
        <f>SUM(I142:I145)</f>
        <v>2000</v>
      </c>
      <c r="J141" s="268">
        <f t="shared" ref="J141:Q141" si="130">SUM(J142:J145)</f>
        <v>0</v>
      </c>
      <c r="K141" s="268">
        <f t="shared" si="130"/>
        <v>0</v>
      </c>
      <c r="L141" s="268">
        <f t="shared" si="130"/>
        <v>0</v>
      </c>
      <c r="M141" s="268">
        <f t="shared" si="130"/>
        <v>0</v>
      </c>
      <c r="N141" s="268">
        <f t="shared" si="130"/>
        <v>0</v>
      </c>
      <c r="O141" s="268">
        <f t="shared" si="130"/>
        <v>0</v>
      </c>
      <c r="P141" s="268">
        <f t="shared" si="130"/>
        <v>0</v>
      </c>
      <c r="Q141" s="269">
        <f t="shared" si="130"/>
        <v>0</v>
      </c>
      <c r="R141" s="264">
        <f>SUM(R142:R145)</f>
        <v>2000</v>
      </c>
      <c r="S141" s="265">
        <f t="shared" si="82"/>
        <v>0</v>
      </c>
      <c r="T141" s="275">
        <f t="shared" si="83"/>
        <v>2000</v>
      </c>
      <c r="U141" s="267">
        <f>SUM(U142:U145)</f>
        <v>2000</v>
      </c>
      <c r="V141" s="268">
        <f t="shared" ref="V141:AC141" si="131">SUM(V142:V145)</f>
        <v>0</v>
      </c>
      <c r="W141" s="268">
        <f t="shared" si="131"/>
        <v>0</v>
      </c>
      <c r="X141" s="268">
        <f t="shared" si="131"/>
        <v>0</v>
      </c>
      <c r="Y141" s="268">
        <f t="shared" si="131"/>
        <v>0</v>
      </c>
      <c r="Z141" s="268">
        <f t="shared" si="131"/>
        <v>0</v>
      </c>
      <c r="AA141" s="268">
        <f t="shared" si="131"/>
        <v>0</v>
      </c>
      <c r="AB141" s="268">
        <f t="shared" si="131"/>
        <v>0</v>
      </c>
      <c r="AC141" s="269">
        <f t="shared" si="131"/>
        <v>0</v>
      </c>
      <c r="AD141" s="264">
        <f>SUM(AD142:AD145)</f>
        <v>0</v>
      </c>
      <c r="AE141" s="265">
        <f t="shared" si="124"/>
        <v>0</v>
      </c>
      <c r="AF141" s="266">
        <f t="shared" si="125"/>
        <v>0</v>
      </c>
      <c r="AG141" s="267">
        <f>SUM(AG142:AG145)</f>
        <v>0</v>
      </c>
      <c r="AH141" s="268">
        <f t="shared" ref="AH141:AO141" si="132">SUM(AH142:AH145)</f>
        <v>0</v>
      </c>
      <c r="AI141" s="268">
        <f t="shared" si="132"/>
        <v>0</v>
      </c>
      <c r="AJ141" s="268">
        <f t="shared" si="132"/>
        <v>0</v>
      </c>
      <c r="AK141" s="268">
        <f t="shared" si="132"/>
        <v>0</v>
      </c>
      <c r="AL141" s="268">
        <f t="shared" si="132"/>
        <v>0</v>
      </c>
      <c r="AM141" s="268">
        <f t="shared" si="132"/>
        <v>0</v>
      </c>
      <c r="AN141" s="268">
        <f t="shared" si="132"/>
        <v>0</v>
      </c>
      <c r="AO141" s="269">
        <f t="shared" si="132"/>
        <v>0</v>
      </c>
      <c r="AP141" s="276">
        <v>250</v>
      </c>
      <c r="AQ141" s="276">
        <f>SUM(AQ142:AQ145)</f>
        <v>0</v>
      </c>
      <c r="AR141" s="277">
        <f>AQ141*100/AP141</f>
        <v>0</v>
      </c>
      <c r="AS141" s="278">
        <f t="shared" si="126"/>
        <v>1</v>
      </c>
      <c r="AT141" s="279">
        <f t="shared" si="127"/>
        <v>1</v>
      </c>
      <c r="AU141" s="279">
        <f t="shared" si="128"/>
        <v>0</v>
      </c>
      <c r="AV141" s="279">
        <f t="shared" si="129"/>
        <v>0</v>
      </c>
    </row>
    <row r="142" spans="1:48" outlineLevel="1" x14ac:dyDescent="0.25">
      <c r="A142" s="4" t="s">
        <v>574</v>
      </c>
      <c r="B142" s="75" t="s">
        <v>58</v>
      </c>
      <c r="C142" s="25"/>
      <c r="D142" s="92">
        <v>1</v>
      </c>
      <c r="E142" s="110">
        <v>1000</v>
      </c>
      <c r="F142" s="93">
        <f>D142*E142</f>
        <v>1000</v>
      </c>
      <c r="G142" s="74">
        <f t="shared" si="71"/>
        <v>0</v>
      </c>
      <c r="H142" s="95">
        <f t="shared" si="112"/>
        <v>1000</v>
      </c>
      <c r="I142" s="112">
        <f>F142</f>
        <v>1000</v>
      </c>
      <c r="J142" s="57"/>
      <c r="K142" s="57"/>
      <c r="L142" s="57"/>
      <c r="M142" s="57"/>
      <c r="N142" s="57"/>
      <c r="O142" s="57"/>
      <c r="P142" s="68"/>
      <c r="Q142" s="58"/>
      <c r="R142" s="93">
        <v>1000</v>
      </c>
      <c r="S142" s="74">
        <f t="shared" si="82"/>
        <v>0</v>
      </c>
      <c r="T142" s="95">
        <f t="shared" si="83"/>
        <v>1000</v>
      </c>
      <c r="U142" s="112">
        <f>R142</f>
        <v>1000</v>
      </c>
      <c r="V142" s="57"/>
      <c r="W142" s="57"/>
      <c r="X142" s="57"/>
      <c r="Y142" s="57"/>
      <c r="Z142" s="57"/>
      <c r="AA142" s="57"/>
      <c r="AB142" s="68"/>
      <c r="AC142" s="58"/>
      <c r="AD142" s="170">
        <f>P142*Q142</f>
        <v>0</v>
      </c>
      <c r="AE142" s="89">
        <f t="shared" si="124"/>
        <v>0</v>
      </c>
      <c r="AF142" s="216">
        <f t="shared" si="125"/>
        <v>0</v>
      </c>
      <c r="AG142" s="147">
        <f>Q142</f>
        <v>0</v>
      </c>
      <c r="AH142" s="148"/>
      <c r="AI142" s="148"/>
      <c r="AJ142" s="148"/>
      <c r="AK142" s="148"/>
      <c r="AL142" s="148"/>
      <c r="AM142" s="148"/>
      <c r="AN142" s="149"/>
      <c r="AO142" s="150"/>
      <c r="AP142" s="76"/>
      <c r="AQ142" s="76"/>
      <c r="AR142" s="128"/>
      <c r="AS142" s="108">
        <f t="shared" si="126"/>
        <v>1</v>
      </c>
      <c r="AT142" s="249">
        <f t="shared" si="127"/>
        <v>1</v>
      </c>
      <c r="AU142" s="249">
        <f t="shared" si="128"/>
        <v>0</v>
      </c>
      <c r="AV142" s="249">
        <f t="shared" si="129"/>
        <v>0</v>
      </c>
    </row>
    <row r="143" spans="1:48" outlineLevel="1" x14ac:dyDescent="0.25">
      <c r="A143" s="4" t="s">
        <v>575</v>
      </c>
      <c r="B143" s="75" t="s">
        <v>57</v>
      </c>
      <c r="C143" s="25"/>
      <c r="D143" s="92">
        <v>1</v>
      </c>
      <c r="E143" s="110">
        <v>500</v>
      </c>
      <c r="F143" s="93">
        <f>D143*E143</f>
        <v>500</v>
      </c>
      <c r="G143" s="74">
        <f t="shared" ref="G143:G213" si="133">H143-F143</f>
        <v>0</v>
      </c>
      <c r="H143" s="95">
        <f t="shared" si="112"/>
        <v>500</v>
      </c>
      <c r="I143" s="112">
        <f>F143</f>
        <v>500</v>
      </c>
      <c r="J143" s="57"/>
      <c r="K143" s="57"/>
      <c r="L143" s="57"/>
      <c r="M143" s="57"/>
      <c r="N143" s="57"/>
      <c r="O143" s="57"/>
      <c r="P143" s="68"/>
      <c r="Q143" s="58"/>
      <c r="R143" s="93">
        <v>500</v>
      </c>
      <c r="S143" s="74">
        <f t="shared" si="82"/>
        <v>0</v>
      </c>
      <c r="T143" s="95">
        <f t="shared" si="83"/>
        <v>500</v>
      </c>
      <c r="U143" s="112">
        <f>R143</f>
        <v>500</v>
      </c>
      <c r="V143" s="57"/>
      <c r="W143" s="57"/>
      <c r="X143" s="57"/>
      <c r="Y143" s="57"/>
      <c r="Z143" s="57"/>
      <c r="AA143" s="57"/>
      <c r="AB143" s="68"/>
      <c r="AC143" s="58"/>
      <c r="AD143" s="170">
        <f>P143*Q143</f>
        <v>0</v>
      </c>
      <c r="AE143" s="89">
        <f t="shared" si="124"/>
        <v>0</v>
      </c>
      <c r="AF143" s="216">
        <f t="shared" si="125"/>
        <v>0</v>
      </c>
      <c r="AG143" s="147">
        <f>Q143</f>
        <v>0</v>
      </c>
      <c r="AH143" s="148"/>
      <c r="AI143" s="148"/>
      <c r="AJ143" s="148"/>
      <c r="AK143" s="148"/>
      <c r="AL143" s="148"/>
      <c r="AM143" s="148"/>
      <c r="AN143" s="149"/>
      <c r="AO143" s="150"/>
      <c r="AP143" s="76"/>
      <c r="AQ143" s="76"/>
      <c r="AR143" s="128"/>
      <c r="AS143" s="108">
        <f t="shared" si="126"/>
        <v>1</v>
      </c>
      <c r="AT143" s="249">
        <f t="shared" si="127"/>
        <v>1</v>
      </c>
      <c r="AU143" s="249">
        <f t="shared" si="128"/>
        <v>0</v>
      </c>
      <c r="AV143" s="249">
        <f t="shared" si="129"/>
        <v>0</v>
      </c>
    </row>
    <row r="144" spans="1:48" outlineLevel="1" x14ac:dyDescent="0.25">
      <c r="A144" s="4" t="s">
        <v>576</v>
      </c>
      <c r="B144" s="75" t="s">
        <v>59</v>
      </c>
      <c r="C144" s="25"/>
      <c r="D144" s="92">
        <v>1</v>
      </c>
      <c r="E144" s="110">
        <v>200</v>
      </c>
      <c r="F144" s="93">
        <f>D144*E144</f>
        <v>200</v>
      </c>
      <c r="G144" s="74">
        <f t="shared" si="133"/>
        <v>0</v>
      </c>
      <c r="H144" s="95">
        <f t="shared" si="112"/>
        <v>200</v>
      </c>
      <c r="I144" s="112">
        <f>F144</f>
        <v>200</v>
      </c>
      <c r="J144" s="57"/>
      <c r="K144" s="57"/>
      <c r="L144" s="57"/>
      <c r="M144" s="57"/>
      <c r="N144" s="57"/>
      <c r="O144" s="57"/>
      <c r="P144" s="68"/>
      <c r="Q144" s="58"/>
      <c r="R144" s="93">
        <v>200</v>
      </c>
      <c r="S144" s="74">
        <f t="shared" si="82"/>
        <v>0</v>
      </c>
      <c r="T144" s="95">
        <f t="shared" si="83"/>
        <v>200</v>
      </c>
      <c r="U144" s="112">
        <f>R144</f>
        <v>200</v>
      </c>
      <c r="V144" s="57"/>
      <c r="W144" s="57"/>
      <c r="X144" s="57"/>
      <c r="Y144" s="57"/>
      <c r="Z144" s="57"/>
      <c r="AA144" s="57"/>
      <c r="AB144" s="68"/>
      <c r="AC144" s="58"/>
      <c r="AD144" s="170">
        <f>P144*Q144</f>
        <v>0</v>
      </c>
      <c r="AE144" s="89">
        <f t="shared" si="124"/>
        <v>0</v>
      </c>
      <c r="AF144" s="216">
        <f t="shared" si="125"/>
        <v>0</v>
      </c>
      <c r="AG144" s="147">
        <f>Q144</f>
        <v>0</v>
      </c>
      <c r="AH144" s="148"/>
      <c r="AI144" s="148"/>
      <c r="AJ144" s="148"/>
      <c r="AK144" s="148"/>
      <c r="AL144" s="148"/>
      <c r="AM144" s="148"/>
      <c r="AN144" s="149"/>
      <c r="AO144" s="150"/>
      <c r="AP144" s="76"/>
      <c r="AQ144" s="76"/>
      <c r="AR144" s="128"/>
      <c r="AS144" s="108">
        <f t="shared" si="126"/>
        <v>1</v>
      </c>
      <c r="AT144" s="249">
        <f t="shared" si="127"/>
        <v>1</v>
      </c>
      <c r="AU144" s="249">
        <f t="shared" si="128"/>
        <v>0</v>
      </c>
      <c r="AV144" s="249">
        <f t="shared" si="129"/>
        <v>0</v>
      </c>
    </row>
    <row r="145" spans="1:48" outlineLevel="1" x14ac:dyDescent="0.25">
      <c r="A145" s="111" t="s">
        <v>1054</v>
      </c>
      <c r="B145" s="26" t="s">
        <v>85</v>
      </c>
      <c r="C145" s="27"/>
      <c r="D145" s="92">
        <v>1</v>
      </c>
      <c r="E145" s="110">
        <v>300</v>
      </c>
      <c r="F145" s="93">
        <f>D145*E145</f>
        <v>300</v>
      </c>
      <c r="G145" s="117">
        <f t="shared" si="133"/>
        <v>0</v>
      </c>
      <c r="H145" s="95">
        <f t="shared" si="112"/>
        <v>300</v>
      </c>
      <c r="I145" s="112">
        <f>F145</f>
        <v>300</v>
      </c>
      <c r="J145" s="113"/>
      <c r="K145" s="113"/>
      <c r="L145" s="113"/>
      <c r="M145" s="113"/>
      <c r="N145" s="113"/>
      <c r="O145" s="113"/>
      <c r="P145" s="115"/>
      <c r="Q145" s="114"/>
      <c r="R145" s="93">
        <v>300</v>
      </c>
      <c r="S145" s="117">
        <f t="shared" si="82"/>
        <v>0</v>
      </c>
      <c r="T145" s="95">
        <f t="shared" si="83"/>
        <v>300</v>
      </c>
      <c r="U145" s="112">
        <f>R145</f>
        <v>300</v>
      </c>
      <c r="V145" s="113"/>
      <c r="W145" s="113"/>
      <c r="X145" s="113"/>
      <c r="Y145" s="113"/>
      <c r="Z145" s="113"/>
      <c r="AA145" s="113"/>
      <c r="AB145" s="115"/>
      <c r="AC145" s="114"/>
      <c r="AD145" s="170">
        <f>P145*Q145</f>
        <v>0</v>
      </c>
      <c r="AE145" s="89">
        <f t="shared" si="124"/>
        <v>0</v>
      </c>
      <c r="AF145" s="216">
        <f t="shared" si="125"/>
        <v>0</v>
      </c>
      <c r="AG145" s="147">
        <f>Q145</f>
        <v>0</v>
      </c>
      <c r="AH145" s="152"/>
      <c r="AI145" s="152"/>
      <c r="AJ145" s="152"/>
      <c r="AK145" s="152"/>
      <c r="AL145" s="152"/>
      <c r="AM145" s="152"/>
      <c r="AN145" s="153"/>
      <c r="AO145" s="154"/>
      <c r="AP145" s="76"/>
      <c r="AQ145" s="76"/>
      <c r="AR145" s="128"/>
      <c r="AS145" s="108">
        <f t="shared" si="126"/>
        <v>1</v>
      </c>
      <c r="AT145" s="249">
        <f t="shared" si="127"/>
        <v>1</v>
      </c>
      <c r="AU145" s="249">
        <f t="shared" si="128"/>
        <v>0</v>
      </c>
      <c r="AV145" s="249">
        <f t="shared" si="129"/>
        <v>0</v>
      </c>
    </row>
    <row r="146" spans="1:48" s="280" customFormat="1" ht="15.75" x14ac:dyDescent="0.25">
      <c r="A146" s="270" t="s">
        <v>1055</v>
      </c>
      <c r="B146" s="271" t="s">
        <v>585</v>
      </c>
      <c r="C146" s="272"/>
      <c r="D146" s="273"/>
      <c r="E146" s="274"/>
      <c r="F146" s="264">
        <f>SUM(F147:F150)</f>
        <v>2450</v>
      </c>
      <c r="G146" s="265">
        <f t="shared" si="133"/>
        <v>0</v>
      </c>
      <c r="H146" s="275">
        <f t="shared" si="112"/>
        <v>2450</v>
      </c>
      <c r="I146" s="267">
        <f t="shared" ref="I146:Q146" si="134">SUM(I147:I150)</f>
        <v>2450</v>
      </c>
      <c r="J146" s="267">
        <f t="shared" si="134"/>
        <v>0</v>
      </c>
      <c r="K146" s="267">
        <f t="shared" si="134"/>
        <v>0</v>
      </c>
      <c r="L146" s="267">
        <f t="shared" si="134"/>
        <v>0</v>
      </c>
      <c r="M146" s="267">
        <f t="shared" si="134"/>
        <v>0</v>
      </c>
      <c r="N146" s="267">
        <f t="shared" si="134"/>
        <v>0</v>
      </c>
      <c r="O146" s="267">
        <f t="shared" si="134"/>
        <v>0</v>
      </c>
      <c r="P146" s="267">
        <f t="shared" si="134"/>
        <v>0</v>
      </c>
      <c r="Q146" s="282">
        <f t="shared" si="134"/>
        <v>0</v>
      </c>
      <c r="R146" s="264">
        <f>SUM(R147:R150)</f>
        <v>2450</v>
      </c>
      <c r="S146" s="265">
        <f t="shared" si="82"/>
        <v>0</v>
      </c>
      <c r="T146" s="275">
        <f t="shared" si="83"/>
        <v>2450</v>
      </c>
      <c r="U146" s="267">
        <f t="shared" ref="U146:AC146" si="135">SUM(U147:U150)</f>
        <v>2450</v>
      </c>
      <c r="V146" s="267">
        <f t="shared" si="135"/>
        <v>0</v>
      </c>
      <c r="W146" s="267">
        <f t="shared" si="135"/>
        <v>0</v>
      </c>
      <c r="X146" s="267">
        <f t="shared" si="135"/>
        <v>0</v>
      </c>
      <c r="Y146" s="267">
        <f t="shared" si="135"/>
        <v>0</v>
      </c>
      <c r="Z146" s="267">
        <f t="shared" si="135"/>
        <v>0</v>
      </c>
      <c r="AA146" s="267">
        <f t="shared" si="135"/>
        <v>0</v>
      </c>
      <c r="AB146" s="267">
        <f t="shared" si="135"/>
        <v>0</v>
      </c>
      <c r="AC146" s="282">
        <f t="shared" si="135"/>
        <v>0</v>
      </c>
      <c r="AD146" s="264">
        <f>SUM(AD147:AD150)</f>
        <v>969.91</v>
      </c>
      <c r="AE146" s="265">
        <f t="shared" si="124"/>
        <v>-969.91</v>
      </c>
      <c r="AF146" s="266">
        <f t="shared" si="125"/>
        <v>0</v>
      </c>
      <c r="AG146" s="267">
        <f t="shared" ref="AG146:AO146" si="136">SUM(AG147:AG150)</f>
        <v>0</v>
      </c>
      <c r="AH146" s="267">
        <f t="shared" si="136"/>
        <v>0</v>
      </c>
      <c r="AI146" s="267">
        <f t="shared" si="136"/>
        <v>0</v>
      </c>
      <c r="AJ146" s="267">
        <f t="shared" si="136"/>
        <v>0</v>
      </c>
      <c r="AK146" s="267">
        <f t="shared" si="136"/>
        <v>0</v>
      </c>
      <c r="AL146" s="267">
        <f t="shared" si="136"/>
        <v>0</v>
      </c>
      <c r="AM146" s="267">
        <f t="shared" si="136"/>
        <v>0</v>
      </c>
      <c r="AN146" s="267">
        <f t="shared" si="136"/>
        <v>0</v>
      </c>
      <c r="AO146" s="282">
        <f t="shared" si="136"/>
        <v>0</v>
      </c>
      <c r="AP146" s="276">
        <v>330</v>
      </c>
      <c r="AQ146" s="276">
        <v>560</v>
      </c>
      <c r="AR146" s="277">
        <f>AQ146*100/AP146</f>
        <v>169.69696969696969</v>
      </c>
      <c r="AS146" s="278">
        <f t="shared" si="126"/>
        <v>1</v>
      </c>
      <c r="AT146" s="279">
        <f t="shared" si="127"/>
        <v>1</v>
      </c>
      <c r="AU146" s="279">
        <f t="shared" si="128"/>
        <v>0.3958816326530612</v>
      </c>
      <c r="AV146" s="279">
        <f t="shared" si="129"/>
        <v>0</v>
      </c>
    </row>
    <row r="147" spans="1:48" outlineLevel="1" x14ac:dyDescent="0.25">
      <c r="A147" s="4" t="s">
        <v>1056</v>
      </c>
      <c r="B147" s="75" t="s">
        <v>87</v>
      </c>
      <c r="C147" s="25"/>
      <c r="D147" s="92">
        <v>1</v>
      </c>
      <c r="E147" s="110">
        <v>150</v>
      </c>
      <c r="F147" s="93">
        <f>D147*E147</f>
        <v>150</v>
      </c>
      <c r="G147" s="74">
        <f t="shared" si="133"/>
        <v>0</v>
      </c>
      <c r="H147" s="95">
        <f t="shared" si="112"/>
        <v>150</v>
      </c>
      <c r="I147" s="112">
        <f>F147</f>
        <v>150</v>
      </c>
      <c r="J147" s="57"/>
      <c r="K147" s="57"/>
      <c r="L147" s="57"/>
      <c r="M147" s="57"/>
      <c r="N147" s="57"/>
      <c r="O147" s="57"/>
      <c r="P147" s="68"/>
      <c r="Q147" s="58"/>
      <c r="R147" s="93">
        <v>150</v>
      </c>
      <c r="S147" s="74">
        <f t="shared" si="82"/>
        <v>0</v>
      </c>
      <c r="T147" s="95">
        <f t="shared" si="83"/>
        <v>150</v>
      </c>
      <c r="U147" s="112">
        <f>R147</f>
        <v>150</v>
      </c>
      <c r="V147" s="57"/>
      <c r="W147" s="57"/>
      <c r="X147" s="57"/>
      <c r="Y147" s="57"/>
      <c r="Z147" s="57"/>
      <c r="AA147" s="57"/>
      <c r="AB147" s="68"/>
      <c r="AC147" s="58"/>
      <c r="AD147" s="170">
        <v>171</v>
      </c>
      <c r="AE147" s="89">
        <f t="shared" si="124"/>
        <v>-171</v>
      </c>
      <c r="AF147" s="216">
        <f t="shared" si="125"/>
        <v>0</v>
      </c>
      <c r="AG147" s="147">
        <f>Q147</f>
        <v>0</v>
      </c>
      <c r="AH147" s="148"/>
      <c r="AI147" s="148"/>
      <c r="AJ147" s="148"/>
      <c r="AK147" s="148"/>
      <c r="AL147" s="148"/>
      <c r="AM147" s="148"/>
      <c r="AN147" s="149"/>
      <c r="AO147" s="150"/>
      <c r="AP147" s="76"/>
      <c r="AQ147" s="76"/>
      <c r="AR147" s="128"/>
      <c r="AS147" s="108">
        <f t="shared" si="126"/>
        <v>1</v>
      </c>
      <c r="AT147" s="249">
        <f t="shared" si="127"/>
        <v>1</v>
      </c>
      <c r="AU147" s="249">
        <f t="shared" si="128"/>
        <v>1.1399999999999999</v>
      </c>
      <c r="AV147" s="249">
        <f t="shared" si="129"/>
        <v>0</v>
      </c>
    </row>
    <row r="148" spans="1:48" outlineLevel="1" x14ac:dyDescent="0.25">
      <c r="A148" s="111" t="s">
        <v>1057</v>
      </c>
      <c r="B148" s="26" t="s">
        <v>83</v>
      </c>
      <c r="C148" s="27"/>
      <c r="D148" s="92">
        <v>1</v>
      </c>
      <c r="E148" s="110">
        <v>200</v>
      </c>
      <c r="F148" s="93">
        <f>D148*E148</f>
        <v>200</v>
      </c>
      <c r="G148" s="117">
        <f t="shared" si="133"/>
        <v>0</v>
      </c>
      <c r="H148" s="95">
        <f t="shared" si="112"/>
        <v>200</v>
      </c>
      <c r="I148" s="112">
        <f>F148</f>
        <v>200</v>
      </c>
      <c r="J148" s="113"/>
      <c r="K148" s="113"/>
      <c r="L148" s="113"/>
      <c r="M148" s="113"/>
      <c r="N148" s="113"/>
      <c r="O148" s="113"/>
      <c r="P148" s="115"/>
      <c r="Q148" s="114"/>
      <c r="R148" s="93">
        <v>200</v>
      </c>
      <c r="S148" s="117">
        <f t="shared" si="82"/>
        <v>0</v>
      </c>
      <c r="T148" s="95">
        <f t="shared" si="83"/>
        <v>200</v>
      </c>
      <c r="U148" s="112">
        <f>R148</f>
        <v>200</v>
      </c>
      <c r="V148" s="113"/>
      <c r="W148" s="113"/>
      <c r="X148" s="113"/>
      <c r="Y148" s="113"/>
      <c r="Z148" s="113"/>
      <c r="AA148" s="113"/>
      <c r="AB148" s="115"/>
      <c r="AC148" s="114"/>
      <c r="AD148" s="170">
        <f>P148*Q148</f>
        <v>0</v>
      </c>
      <c r="AE148" s="89">
        <f t="shared" si="124"/>
        <v>0</v>
      </c>
      <c r="AF148" s="216">
        <f t="shared" si="125"/>
        <v>0</v>
      </c>
      <c r="AG148" s="147">
        <f>Q148</f>
        <v>0</v>
      </c>
      <c r="AH148" s="152"/>
      <c r="AI148" s="152"/>
      <c r="AJ148" s="152"/>
      <c r="AK148" s="152"/>
      <c r="AL148" s="152"/>
      <c r="AM148" s="152"/>
      <c r="AN148" s="153"/>
      <c r="AO148" s="154"/>
      <c r="AP148" s="116"/>
      <c r="AQ148" s="116"/>
      <c r="AR148" s="129"/>
      <c r="AS148" s="108">
        <f t="shared" si="126"/>
        <v>1</v>
      </c>
      <c r="AT148" s="249">
        <f t="shared" si="127"/>
        <v>1</v>
      </c>
      <c r="AU148" s="249">
        <f t="shared" si="128"/>
        <v>0</v>
      </c>
      <c r="AV148" s="249">
        <f t="shared" si="129"/>
        <v>0</v>
      </c>
    </row>
    <row r="149" spans="1:48" outlineLevel="1" x14ac:dyDescent="0.25">
      <c r="A149" s="111" t="s">
        <v>1058</v>
      </c>
      <c r="B149" s="26" t="s">
        <v>994</v>
      </c>
      <c r="C149" s="27"/>
      <c r="D149" s="92">
        <v>1</v>
      </c>
      <c r="E149" s="110">
        <v>2000</v>
      </c>
      <c r="F149" s="93">
        <f>D149*E149</f>
        <v>2000</v>
      </c>
      <c r="G149" s="117">
        <f t="shared" si="133"/>
        <v>0</v>
      </c>
      <c r="H149" s="95">
        <f t="shared" si="112"/>
        <v>2000</v>
      </c>
      <c r="I149" s="112">
        <f>F149</f>
        <v>2000</v>
      </c>
      <c r="J149" s="113"/>
      <c r="K149" s="113"/>
      <c r="L149" s="113"/>
      <c r="M149" s="113"/>
      <c r="N149" s="113"/>
      <c r="O149" s="113"/>
      <c r="P149" s="115"/>
      <c r="Q149" s="114"/>
      <c r="R149" s="93">
        <v>2000</v>
      </c>
      <c r="S149" s="117">
        <f t="shared" si="82"/>
        <v>0</v>
      </c>
      <c r="T149" s="95">
        <f t="shared" si="83"/>
        <v>2000</v>
      </c>
      <c r="U149" s="112">
        <f>R149</f>
        <v>2000</v>
      </c>
      <c r="V149" s="113"/>
      <c r="W149" s="113"/>
      <c r="X149" s="113"/>
      <c r="Y149" s="113"/>
      <c r="Z149" s="113"/>
      <c r="AA149" s="113"/>
      <c r="AB149" s="115"/>
      <c r="AC149" s="114"/>
      <c r="AD149" s="170">
        <v>86.62</v>
      </c>
      <c r="AE149" s="89">
        <f t="shared" si="124"/>
        <v>-86.62</v>
      </c>
      <c r="AF149" s="216">
        <f t="shared" si="125"/>
        <v>0</v>
      </c>
      <c r="AG149" s="147">
        <f>Q149</f>
        <v>0</v>
      </c>
      <c r="AH149" s="152"/>
      <c r="AI149" s="152"/>
      <c r="AJ149" s="152"/>
      <c r="AK149" s="152"/>
      <c r="AL149" s="152"/>
      <c r="AM149" s="152"/>
      <c r="AN149" s="153"/>
      <c r="AO149" s="154"/>
      <c r="AP149" s="116"/>
      <c r="AQ149" s="116"/>
      <c r="AR149" s="129"/>
      <c r="AS149" s="108">
        <f t="shared" si="126"/>
        <v>1</v>
      </c>
      <c r="AT149" s="249">
        <f t="shared" si="127"/>
        <v>1</v>
      </c>
      <c r="AU149" s="249">
        <f t="shared" si="128"/>
        <v>4.3310000000000001E-2</v>
      </c>
      <c r="AV149" s="249">
        <f t="shared" si="129"/>
        <v>0</v>
      </c>
    </row>
    <row r="150" spans="1:48" outlineLevel="1" x14ac:dyDescent="0.25">
      <c r="A150" s="111" t="s">
        <v>1059</v>
      </c>
      <c r="B150" s="26" t="s">
        <v>84</v>
      </c>
      <c r="C150" s="27"/>
      <c r="D150" s="28">
        <v>1</v>
      </c>
      <c r="E150" s="29">
        <v>100</v>
      </c>
      <c r="F150" s="85">
        <f>D150*E150</f>
        <v>100</v>
      </c>
      <c r="G150" s="117">
        <f t="shared" si="133"/>
        <v>0</v>
      </c>
      <c r="H150" s="30">
        <f t="shared" si="112"/>
        <v>100</v>
      </c>
      <c r="I150" s="112">
        <f>F150</f>
        <v>100</v>
      </c>
      <c r="J150" s="61"/>
      <c r="K150" s="61"/>
      <c r="L150" s="61"/>
      <c r="M150" s="61"/>
      <c r="N150" s="61"/>
      <c r="O150" s="61"/>
      <c r="P150" s="69"/>
      <c r="Q150" s="62"/>
      <c r="R150" s="85">
        <v>100</v>
      </c>
      <c r="S150" s="117">
        <f t="shared" si="82"/>
        <v>0</v>
      </c>
      <c r="T150" s="30">
        <f t="shared" si="83"/>
        <v>100</v>
      </c>
      <c r="U150" s="112">
        <f>R150</f>
        <v>100</v>
      </c>
      <c r="V150" s="61"/>
      <c r="W150" s="61"/>
      <c r="X150" s="61"/>
      <c r="Y150" s="61"/>
      <c r="Z150" s="61"/>
      <c r="AA150" s="61"/>
      <c r="AB150" s="69"/>
      <c r="AC150" s="62"/>
      <c r="AD150" s="171">
        <f>-41.19+753.48</f>
        <v>712.29</v>
      </c>
      <c r="AE150" s="89">
        <f t="shared" si="124"/>
        <v>-712.29</v>
      </c>
      <c r="AF150" s="216">
        <f t="shared" si="125"/>
        <v>0</v>
      </c>
      <c r="AG150" s="147">
        <f>Q150</f>
        <v>0</v>
      </c>
      <c r="AH150" s="155"/>
      <c r="AI150" s="155"/>
      <c r="AJ150" s="155"/>
      <c r="AK150" s="155"/>
      <c r="AL150" s="155"/>
      <c r="AM150" s="155"/>
      <c r="AN150" s="156"/>
      <c r="AO150" s="157"/>
      <c r="AP150" s="76"/>
      <c r="AQ150" s="76"/>
      <c r="AR150" s="128"/>
      <c r="AS150" s="108">
        <f t="shared" si="126"/>
        <v>1</v>
      </c>
      <c r="AT150" s="249">
        <f t="shared" si="127"/>
        <v>1</v>
      </c>
      <c r="AU150" s="249">
        <f t="shared" si="128"/>
        <v>7.1228999999999996</v>
      </c>
      <c r="AV150" s="249">
        <f t="shared" si="129"/>
        <v>0</v>
      </c>
    </row>
    <row r="151" spans="1:48" s="2" customFormat="1" ht="21" x14ac:dyDescent="0.35">
      <c r="A151" s="8" t="s">
        <v>134</v>
      </c>
      <c r="B151" s="12" t="s">
        <v>895</v>
      </c>
      <c r="C151" s="21"/>
      <c r="D151" s="22"/>
      <c r="E151" s="15"/>
      <c r="F151" s="84">
        <f>F152+F155+F160+F165</f>
        <v>159859</v>
      </c>
      <c r="G151" s="89">
        <f t="shared" si="133"/>
        <v>0.39999999999417923</v>
      </c>
      <c r="H151" s="16">
        <f t="shared" si="112"/>
        <v>159859.4</v>
      </c>
      <c r="I151" s="51">
        <f t="shared" ref="I151:R151" si="137">I152+I155+I160+I165</f>
        <v>18253</v>
      </c>
      <c r="J151" s="51">
        <f t="shared" si="137"/>
        <v>121839</v>
      </c>
      <c r="K151" s="51">
        <f t="shared" si="137"/>
        <v>4267.3999999999996</v>
      </c>
      <c r="L151" s="51">
        <f t="shared" si="137"/>
        <v>0</v>
      </c>
      <c r="M151" s="51">
        <f t="shared" si="137"/>
        <v>0</v>
      </c>
      <c r="N151" s="51">
        <f t="shared" si="137"/>
        <v>15500</v>
      </c>
      <c r="O151" s="51">
        <f t="shared" si="137"/>
        <v>0</v>
      </c>
      <c r="P151" s="51">
        <f t="shared" si="137"/>
        <v>0</v>
      </c>
      <c r="Q151" s="59">
        <f t="shared" si="137"/>
        <v>0</v>
      </c>
      <c r="R151" s="84">
        <f t="shared" si="137"/>
        <v>159859</v>
      </c>
      <c r="S151" s="89">
        <f t="shared" si="82"/>
        <v>733</v>
      </c>
      <c r="T151" s="16">
        <f t="shared" si="83"/>
        <v>160592</v>
      </c>
      <c r="U151" s="51">
        <f t="shared" ref="U151:AC151" si="138">U152+U155+U160+U165</f>
        <v>18253</v>
      </c>
      <c r="V151" s="51">
        <f t="shared" si="138"/>
        <v>121839</v>
      </c>
      <c r="W151" s="218">
        <f t="shared" si="138"/>
        <v>5000</v>
      </c>
      <c r="X151" s="51">
        <f t="shared" si="138"/>
        <v>0</v>
      </c>
      <c r="Y151" s="51">
        <f t="shared" si="138"/>
        <v>0</v>
      </c>
      <c r="Z151" s="51">
        <f t="shared" si="138"/>
        <v>15500</v>
      </c>
      <c r="AA151" s="51">
        <f t="shared" si="138"/>
        <v>0</v>
      </c>
      <c r="AB151" s="51">
        <f t="shared" si="138"/>
        <v>0</v>
      </c>
      <c r="AC151" s="59">
        <f t="shared" si="138"/>
        <v>0</v>
      </c>
      <c r="AD151" s="255">
        <f>AD152+AD155+AD160+AD165</f>
        <v>44401.630000000005</v>
      </c>
      <c r="AE151" s="256">
        <f t="shared" si="124"/>
        <v>2943.7899999999936</v>
      </c>
      <c r="AF151" s="257">
        <f t="shared" si="125"/>
        <v>47345.42</v>
      </c>
      <c r="AG151" s="260">
        <f>AG152+AG155+AG160+AG165</f>
        <v>0</v>
      </c>
      <c r="AH151" s="260">
        <f>44023+188.42</f>
        <v>44211.42</v>
      </c>
      <c r="AI151" s="260">
        <f t="shared" ref="AI151:AO151" si="139">AI152+AI155+AI160+AI165</f>
        <v>0</v>
      </c>
      <c r="AJ151" s="260">
        <f t="shared" si="139"/>
        <v>0</v>
      </c>
      <c r="AK151" s="260">
        <f t="shared" si="139"/>
        <v>0</v>
      </c>
      <c r="AL151" s="262">
        <v>1134</v>
      </c>
      <c r="AM151" s="262">
        <v>2000</v>
      </c>
      <c r="AN151" s="260">
        <f t="shared" si="139"/>
        <v>0</v>
      </c>
      <c r="AO151" s="261">
        <f t="shared" si="139"/>
        <v>0</v>
      </c>
      <c r="AP151" s="32">
        <f>AP152+AP155+AP160+AP165</f>
        <v>173990</v>
      </c>
      <c r="AQ151" s="32">
        <f>AQ152+AQ155+AQ160+AQ165</f>
        <v>153579.85</v>
      </c>
      <c r="AR151" s="126">
        <f>AQ151*100/AP151</f>
        <v>88.269354560606928</v>
      </c>
      <c r="AS151" s="108">
        <f t="shared" si="126"/>
        <v>1</v>
      </c>
      <c r="AT151" s="249">
        <f t="shared" si="127"/>
        <v>1.0045827771153901</v>
      </c>
      <c r="AU151" s="249">
        <f t="shared" si="128"/>
        <v>0.27775495905766961</v>
      </c>
      <c r="AV151" s="249">
        <f t="shared" si="129"/>
        <v>0.29616913362617397</v>
      </c>
    </row>
    <row r="152" spans="1:48" s="280" customFormat="1" ht="15.75" x14ac:dyDescent="0.25">
      <c r="A152" s="270" t="s">
        <v>135</v>
      </c>
      <c r="B152" s="271" t="s">
        <v>905</v>
      </c>
      <c r="C152" s="272"/>
      <c r="D152" s="273"/>
      <c r="E152" s="274"/>
      <c r="F152" s="264">
        <f>SUM(F153:F154)</f>
        <v>1500</v>
      </c>
      <c r="G152" s="265">
        <f t="shared" si="133"/>
        <v>0</v>
      </c>
      <c r="H152" s="275">
        <f t="shared" si="112"/>
        <v>1500</v>
      </c>
      <c r="I152" s="267">
        <f t="shared" ref="I152:Q152" si="140">SUM(I153:I154)</f>
        <v>0</v>
      </c>
      <c r="J152" s="268">
        <f t="shared" si="140"/>
        <v>1500</v>
      </c>
      <c r="K152" s="268">
        <f t="shared" si="140"/>
        <v>0</v>
      </c>
      <c r="L152" s="268">
        <f t="shared" si="140"/>
        <v>0</v>
      </c>
      <c r="M152" s="268">
        <f t="shared" si="140"/>
        <v>0</v>
      </c>
      <c r="N152" s="268">
        <f t="shared" si="140"/>
        <v>0</v>
      </c>
      <c r="O152" s="268">
        <f t="shared" si="140"/>
        <v>0</v>
      </c>
      <c r="P152" s="268">
        <f t="shared" si="140"/>
        <v>0</v>
      </c>
      <c r="Q152" s="269">
        <f t="shared" si="140"/>
        <v>0</v>
      </c>
      <c r="R152" s="264">
        <f>SUM(R153:R154)</f>
        <v>1500</v>
      </c>
      <c r="S152" s="265">
        <f t="shared" si="82"/>
        <v>0</v>
      </c>
      <c r="T152" s="275">
        <f t="shared" ref="T152:T209" si="141">SUM(U152:AC152)</f>
        <v>1500</v>
      </c>
      <c r="U152" s="267">
        <f t="shared" ref="U152:AC152" si="142">SUM(U153:U154)</f>
        <v>0</v>
      </c>
      <c r="V152" s="268">
        <f t="shared" si="142"/>
        <v>1500</v>
      </c>
      <c r="W152" s="268">
        <f t="shared" si="142"/>
        <v>0</v>
      </c>
      <c r="X152" s="268">
        <f t="shared" si="142"/>
        <v>0</v>
      </c>
      <c r="Y152" s="268">
        <f t="shared" si="142"/>
        <v>0</v>
      </c>
      <c r="Z152" s="268">
        <f t="shared" si="142"/>
        <v>0</v>
      </c>
      <c r="AA152" s="268">
        <f t="shared" si="142"/>
        <v>0</v>
      </c>
      <c r="AB152" s="268">
        <f t="shared" si="142"/>
        <v>0</v>
      </c>
      <c r="AC152" s="269">
        <f t="shared" si="142"/>
        <v>0</v>
      </c>
      <c r="AD152" s="264">
        <f>SUM(AD153:AD154)</f>
        <v>846.71</v>
      </c>
      <c r="AE152" s="265">
        <f t="shared" si="124"/>
        <v>-846.71</v>
      </c>
      <c r="AF152" s="266">
        <f t="shared" si="125"/>
        <v>0</v>
      </c>
      <c r="AG152" s="267">
        <f t="shared" ref="AG152:AO152" si="143">SUM(AG153:AG154)</f>
        <v>0</v>
      </c>
      <c r="AH152" s="268">
        <f t="shared" si="143"/>
        <v>0</v>
      </c>
      <c r="AI152" s="268">
        <f t="shared" si="143"/>
        <v>0</v>
      </c>
      <c r="AJ152" s="268">
        <f t="shared" si="143"/>
        <v>0</v>
      </c>
      <c r="AK152" s="268">
        <f t="shared" si="143"/>
        <v>0</v>
      </c>
      <c r="AL152" s="268">
        <f t="shared" si="143"/>
        <v>0</v>
      </c>
      <c r="AM152" s="268">
        <f t="shared" si="143"/>
        <v>0</v>
      </c>
      <c r="AN152" s="268">
        <f t="shared" si="143"/>
        <v>0</v>
      </c>
      <c r="AO152" s="269">
        <f t="shared" si="143"/>
        <v>0</v>
      </c>
      <c r="AP152" s="276">
        <v>1600</v>
      </c>
      <c r="AQ152" s="276">
        <f>2137-679</f>
        <v>1458</v>
      </c>
      <c r="AR152" s="277">
        <f>AQ152*100/AP152</f>
        <v>91.125</v>
      </c>
      <c r="AS152" s="278">
        <f t="shared" si="126"/>
        <v>1</v>
      </c>
      <c r="AT152" s="279">
        <f t="shared" si="127"/>
        <v>1</v>
      </c>
      <c r="AU152" s="279">
        <f t="shared" si="128"/>
        <v>0.56447333333333338</v>
      </c>
      <c r="AV152" s="279">
        <f t="shared" si="129"/>
        <v>0</v>
      </c>
    </row>
    <row r="153" spans="1:48" outlineLevel="1" x14ac:dyDescent="0.25">
      <c r="A153" s="5" t="s">
        <v>138</v>
      </c>
      <c r="B153" s="75" t="s">
        <v>905</v>
      </c>
      <c r="C153" s="25"/>
      <c r="D153" s="92">
        <v>1</v>
      </c>
      <c r="E153" s="110">
        <v>1500</v>
      </c>
      <c r="F153" s="93">
        <f>D153*E153</f>
        <v>1500</v>
      </c>
      <c r="G153" s="74">
        <f t="shared" si="133"/>
        <v>0</v>
      </c>
      <c r="H153" s="95">
        <f t="shared" si="112"/>
        <v>1500</v>
      </c>
      <c r="I153" s="112"/>
      <c r="J153" s="57">
        <v>1500</v>
      </c>
      <c r="K153" s="57"/>
      <c r="L153" s="57"/>
      <c r="M153" s="57"/>
      <c r="N153" s="57"/>
      <c r="O153" s="57"/>
      <c r="P153" s="68"/>
      <c r="Q153" s="58"/>
      <c r="R153" s="93">
        <v>1500</v>
      </c>
      <c r="S153" s="74">
        <f t="shared" ref="S153:S209" si="144">T153-R153</f>
        <v>0</v>
      </c>
      <c r="T153" s="95">
        <f t="shared" si="141"/>
        <v>1500</v>
      </c>
      <c r="U153" s="112"/>
      <c r="V153" s="57">
        <v>1500</v>
      </c>
      <c r="W153" s="57"/>
      <c r="X153" s="57"/>
      <c r="Y153" s="57"/>
      <c r="Z153" s="57"/>
      <c r="AA153" s="57"/>
      <c r="AB153" s="68"/>
      <c r="AC153" s="58"/>
      <c r="AD153" s="170">
        <v>846.71</v>
      </c>
      <c r="AE153" s="89">
        <f t="shared" si="124"/>
        <v>-846.71</v>
      </c>
      <c r="AF153" s="216">
        <f t="shared" si="125"/>
        <v>0</v>
      </c>
      <c r="AG153" s="147"/>
      <c r="AH153" s="148"/>
      <c r="AI153" s="148"/>
      <c r="AJ153" s="148"/>
      <c r="AK153" s="148"/>
      <c r="AL153" s="148"/>
      <c r="AM153" s="148"/>
      <c r="AN153" s="149"/>
      <c r="AO153" s="150"/>
      <c r="AP153" s="76"/>
      <c r="AQ153" s="76"/>
      <c r="AR153" s="128"/>
      <c r="AS153" s="108">
        <f t="shared" si="126"/>
        <v>1</v>
      </c>
      <c r="AT153" s="249">
        <f t="shared" si="127"/>
        <v>1</v>
      </c>
      <c r="AU153" s="249">
        <f t="shared" si="128"/>
        <v>0.56447333333333338</v>
      </c>
      <c r="AV153" s="249">
        <f t="shared" si="129"/>
        <v>0</v>
      </c>
    </row>
    <row r="154" spans="1:48" outlineLevel="1" x14ac:dyDescent="0.25">
      <c r="A154" s="4" t="s">
        <v>139</v>
      </c>
      <c r="B154" s="75" t="s">
        <v>47</v>
      </c>
      <c r="C154" s="25"/>
      <c r="D154" s="92"/>
      <c r="E154" s="110"/>
      <c r="F154" s="93">
        <f>D154*E154</f>
        <v>0</v>
      </c>
      <c r="G154" s="74">
        <f t="shared" si="133"/>
        <v>0</v>
      </c>
      <c r="H154" s="95">
        <f t="shared" si="112"/>
        <v>0</v>
      </c>
      <c r="I154" s="112"/>
      <c r="J154" s="57"/>
      <c r="K154" s="57"/>
      <c r="L154" s="57"/>
      <c r="M154" s="57"/>
      <c r="N154" s="57"/>
      <c r="O154" s="57"/>
      <c r="P154" s="68"/>
      <c r="Q154" s="58"/>
      <c r="R154" s="93">
        <f>P154*Q154</f>
        <v>0</v>
      </c>
      <c r="S154" s="74">
        <f t="shared" si="144"/>
        <v>0</v>
      </c>
      <c r="T154" s="95">
        <f t="shared" si="141"/>
        <v>0</v>
      </c>
      <c r="U154" s="112"/>
      <c r="V154" s="57"/>
      <c r="W154" s="57"/>
      <c r="X154" s="57"/>
      <c r="Y154" s="57"/>
      <c r="Z154" s="57"/>
      <c r="AA154" s="57"/>
      <c r="AB154" s="68"/>
      <c r="AC154" s="58"/>
      <c r="AD154" s="170">
        <f>P154*Q154</f>
        <v>0</v>
      </c>
      <c r="AE154" s="89">
        <f t="shared" si="124"/>
        <v>0</v>
      </c>
      <c r="AF154" s="216">
        <f t="shared" si="125"/>
        <v>0</v>
      </c>
      <c r="AG154" s="147"/>
      <c r="AH154" s="148"/>
      <c r="AI154" s="148"/>
      <c r="AJ154" s="148"/>
      <c r="AK154" s="148"/>
      <c r="AL154" s="148"/>
      <c r="AM154" s="148"/>
      <c r="AN154" s="149"/>
      <c r="AO154" s="150"/>
      <c r="AP154" s="76"/>
      <c r="AQ154" s="76"/>
      <c r="AR154" s="128"/>
      <c r="AS154" s="108"/>
      <c r="AT154" s="249"/>
      <c r="AU154" s="249"/>
      <c r="AV154" s="249"/>
    </row>
    <row r="155" spans="1:48" s="280" customFormat="1" ht="15.75" x14ac:dyDescent="0.25">
      <c r="A155" s="270" t="s">
        <v>143</v>
      </c>
      <c r="B155" s="271" t="s">
        <v>212</v>
      </c>
      <c r="C155" s="272"/>
      <c r="D155" s="273"/>
      <c r="E155" s="274"/>
      <c r="F155" s="264">
        <f>SUM(F156:F159)</f>
        <v>94361</v>
      </c>
      <c r="G155" s="265">
        <f t="shared" si="133"/>
        <v>0.39999999999417923</v>
      </c>
      <c r="H155" s="275">
        <f t="shared" si="112"/>
        <v>94361.4</v>
      </c>
      <c r="I155" s="267">
        <f t="shared" ref="I155:Q155" si="145">SUM(I156:I159)</f>
        <v>0</v>
      </c>
      <c r="J155" s="268">
        <f t="shared" si="145"/>
        <v>74594</v>
      </c>
      <c r="K155" s="268">
        <f t="shared" si="145"/>
        <v>4267.3999999999996</v>
      </c>
      <c r="L155" s="268">
        <f t="shared" si="145"/>
        <v>0</v>
      </c>
      <c r="M155" s="268">
        <f t="shared" si="145"/>
        <v>0</v>
      </c>
      <c r="N155" s="268">
        <f t="shared" si="145"/>
        <v>15500</v>
      </c>
      <c r="O155" s="268">
        <f t="shared" si="145"/>
        <v>0</v>
      </c>
      <c r="P155" s="268">
        <f t="shared" si="145"/>
        <v>0</v>
      </c>
      <c r="Q155" s="269">
        <f t="shared" si="145"/>
        <v>0</v>
      </c>
      <c r="R155" s="264">
        <f>SUM(R156:R159)</f>
        <v>94361</v>
      </c>
      <c r="S155" s="265">
        <f t="shared" si="144"/>
        <v>733</v>
      </c>
      <c r="T155" s="275">
        <f t="shared" si="141"/>
        <v>95094</v>
      </c>
      <c r="U155" s="267">
        <f t="shared" ref="U155:AC155" si="146">SUM(U156:U159)</f>
        <v>0</v>
      </c>
      <c r="V155" s="268">
        <f t="shared" si="146"/>
        <v>74594</v>
      </c>
      <c r="W155" s="268">
        <f t="shared" si="146"/>
        <v>5000</v>
      </c>
      <c r="X155" s="268">
        <f t="shared" si="146"/>
        <v>0</v>
      </c>
      <c r="Y155" s="268">
        <f t="shared" si="146"/>
        <v>0</v>
      </c>
      <c r="Z155" s="268">
        <f t="shared" si="146"/>
        <v>15500</v>
      </c>
      <c r="AA155" s="268">
        <f t="shared" si="146"/>
        <v>0</v>
      </c>
      <c r="AB155" s="268">
        <f t="shared" si="146"/>
        <v>0</v>
      </c>
      <c r="AC155" s="269">
        <f t="shared" si="146"/>
        <v>0</v>
      </c>
      <c r="AD155" s="264">
        <f>SUM(AD156:AD159)</f>
        <v>28332.560000000001</v>
      </c>
      <c r="AE155" s="265">
        <f t="shared" si="124"/>
        <v>-28332.560000000001</v>
      </c>
      <c r="AF155" s="266">
        <f t="shared" si="125"/>
        <v>0</v>
      </c>
      <c r="AG155" s="267">
        <f t="shared" ref="AG155:AO155" si="147">SUM(AG156:AG159)</f>
        <v>0</v>
      </c>
      <c r="AH155" s="268">
        <f t="shared" si="147"/>
        <v>0</v>
      </c>
      <c r="AI155" s="268">
        <f t="shared" si="147"/>
        <v>0</v>
      </c>
      <c r="AJ155" s="268">
        <f t="shared" si="147"/>
        <v>0</v>
      </c>
      <c r="AK155" s="268">
        <f t="shared" si="147"/>
        <v>0</v>
      </c>
      <c r="AL155" s="268">
        <f t="shared" si="147"/>
        <v>0</v>
      </c>
      <c r="AM155" s="268">
        <f t="shared" si="147"/>
        <v>0</v>
      </c>
      <c r="AN155" s="268">
        <f t="shared" si="147"/>
        <v>0</v>
      </c>
      <c r="AO155" s="269">
        <f t="shared" si="147"/>
        <v>0</v>
      </c>
      <c r="AP155" s="276">
        <f>109890-1500</f>
        <v>108390</v>
      </c>
      <c r="AQ155" s="276">
        <f>55166.53+37946.32+327+679</f>
        <v>94118.85</v>
      </c>
      <c r="AR155" s="277">
        <f>AQ155*100/AP155</f>
        <v>86.833517852200387</v>
      </c>
      <c r="AS155" s="278">
        <f t="shared" si="126"/>
        <v>1</v>
      </c>
      <c r="AT155" s="279">
        <f t="shared" si="127"/>
        <v>1.0077637678118383</v>
      </c>
      <c r="AU155" s="279">
        <f t="shared" si="128"/>
        <v>0.30025709774165177</v>
      </c>
      <c r="AV155" s="279">
        <f t="shared" si="129"/>
        <v>0</v>
      </c>
    </row>
    <row r="156" spans="1:48" outlineLevel="1" x14ac:dyDescent="0.25">
      <c r="A156" s="4" t="s">
        <v>144</v>
      </c>
      <c r="B156" s="75" t="s">
        <v>869</v>
      </c>
      <c r="C156" s="25"/>
      <c r="D156" s="92">
        <v>1</v>
      </c>
      <c r="E156" s="110">
        <v>54489</v>
      </c>
      <c r="F156" s="93">
        <f>D156*E156</f>
        <v>54489</v>
      </c>
      <c r="G156" s="74">
        <f t="shared" si="133"/>
        <v>0.40000000000145519</v>
      </c>
      <c r="H156" s="95">
        <f t="shared" si="112"/>
        <v>54489.4</v>
      </c>
      <c r="I156" s="112"/>
      <c r="J156" s="57">
        <f>54489-15500-6956-819+3508</f>
        <v>34722</v>
      </c>
      <c r="K156" s="57">
        <f>+(4492)*0.95</f>
        <v>4267.3999999999996</v>
      </c>
      <c r="L156" s="57"/>
      <c r="M156" s="57"/>
      <c r="N156" s="57">
        <v>15500</v>
      </c>
      <c r="O156" s="57"/>
      <c r="P156" s="68"/>
      <c r="Q156" s="58"/>
      <c r="R156" s="93">
        <v>54489</v>
      </c>
      <c r="S156" s="74">
        <f t="shared" si="144"/>
        <v>733</v>
      </c>
      <c r="T156" s="95">
        <f t="shared" si="141"/>
        <v>55222</v>
      </c>
      <c r="U156" s="112"/>
      <c r="V156" s="57">
        <f>54489-15500-6956-819+3508</f>
        <v>34722</v>
      </c>
      <c r="W156" s="57">
        <v>5000</v>
      </c>
      <c r="X156" s="57"/>
      <c r="Y156" s="57"/>
      <c r="Z156" s="57">
        <v>15500</v>
      </c>
      <c r="AA156" s="57"/>
      <c r="AB156" s="68"/>
      <c r="AC156" s="58"/>
      <c r="AD156" s="170">
        <v>16739.95</v>
      </c>
      <c r="AE156" s="89">
        <f t="shared" si="124"/>
        <v>-16739.95</v>
      </c>
      <c r="AF156" s="216">
        <f t="shared" si="125"/>
        <v>0</v>
      </c>
      <c r="AG156" s="147"/>
      <c r="AH156" s="148"/>
      <c r="AI156" s="148"/>
      <c r="AJ156" s="148"/>
      <c r="AK156" s="148"/>
      <c r="AL156" s="148"/>
      <c r="AM156" s="148"/>
      <c r="AN156" s="149"/>
      <c r="AO156" s="150"/>
      <c r="AP156" s="76"/>
      <c r="AQ156" s="76"/>
      <c r="AR156" s="128"/>
      <c r="AS156" s="108">
        <f t="shared" si="126"/>
        <v>1</v>
      </c>
      <c r="AT156" s="249">
        <f t="shared" si="127"/>
        <v>1.0134448167900545</v>
      </c>
      <c r="AU156" s="249">
        <f t="shared" si="128"/>
        <v>0.30721705298317092</v>
      </c>
      <c r="AV156" s="249">
        <f t="shared" si="129"/>
        <v>0</v>
      </c>
    </row>
    <row r="157" spans="1:48" outlineLevel="1" x14ac:dyDescent="0.25">
      <c r="A157" s="4" t="s">
        <v>145</v>
      </c>
      <c r="B157" s="75" t="s">
        <v>870</v>
      </c>
      <c r="C157" s="25"/>
      <c r="D157" s="92">
        <v>1</v>
      </c>
      <c r="E157" s="110">
        <v>30672</v>
      </c>
      <c r="F157" s="93">
        <f>D157*E157</f>
        <v>30672</v>
      </c>
      <c r="G157" s="74">
        <f t="shared" si="133"/>
        <v>0</v>
      </c>
      <c r="H157" s="95">
        <f t="shared" si="112"/>
        <v>30672</v>
      </c>
      <c r="I157" s="112"/>
      <c r="J157" s="57">
        <v>30672</v>
      </c>
      <c r="K157" s="57"/>
      <c r="L157" s="57"/>
      <c r="M157" s="57"/>
      <c r="N157" s="57"/>
      <c r="O157" s="57"/>
      <c r="P157" s="68"/>
      <c r="Q157" s="58"/>
      <c r="R157" s="93">
        <v>30672</v>
      </c>
      <c r="S157" s="74">
        <f t="shared" si="144"/>
        <v>0</v>
      </c>
      <c r="T157" s="95">
        <f t="shared" si="141"/>
        <v>30672</v>
      </c>
      <c r="U157" s="112"/>
      <c r="V157" s="57">
        <v>30672</v>
      </c>
      <c r="W157" s="57"/>
      <c r="X157" s="57"/>
      <c r="Y157" s="57"/>
      <c r="Z157" s="57"/>
      <c r="AA157" s="57"/>
      <c r="AB157" s="68"/>
      <c r="AC157" s="58"/>
      <c r="AD157" s="170">
        <v>10764.96</v>
      </c>
      <c r="AE157" s="89">
        <f t="shared" si="124"/>
        <v>-10764.96</v>
      </c>
      <c r="AF157" s="216">
        <f t="shared" si="125"/>
        <v>0</v>
      </c>
      <c r="AG157" s="147"/>
      <c r="AH157" s="148"/>
      <c r="AI157" s="148"/>
      <c r="AJ157" s="148"/>
      <c r="AK157" s="148"/>
      <c r="AL157" s="148"/>
      <c r="AM157" s="148"/>
      <c r="AN157" s="149"/>
      <c r="AO157" s="150"/>
      <c r="AP157" s="76"/>
      <c r="AQ157" s="76"/>
      <c r="AR157" s="128"/>
      <c r="AS157" s="108">
        <f t="shared" si="126"/>
        <v>1</v>
      </c>
      <c r="AT157" s="249">
        <f t="shared" si="127"/>
        <v>1</v>
      </c>
      <c r="AU157" s="249">
        <f t="shared" si="128"/>
        <v>0.35097026604068854</v>
      </c>
      <c r="AV157" s="249">
        <f t="shared" si="129"/>
        <v>0</v>
      </c>
    </row>
    <row r="158" spans="1:48" outlineLevel="1" x14ac:dyDescent="0.25">
      <c r="A158" s="4" t="s">
        <v>146</v>
      </c>
      <c r="B158" s="75" t="s">
        <v>874</v>
      </c>
      <c r="C158" s="25"/>
      <c r="D158" s="92">
        <v>1</v>
      </c>
      <c r="E158" s="110">
        <v>2200</v>
      </c>
      <c r="F158" s="93">
        <f>D158*E158</f>
        <v>2200</v>
      </c>
      <c r="G158" s="74">
        <f t="shared" si="133"/>
        <v>0</v>
      </c>
      <c r="H158" s="95">
        <f t="shared" si="112"/>
        <v>2200</v>
      </c>
      <c r="I158" s="112"/>
      <c r="J158" s="57">
        <v>2200</v>
      </c>
      <c r="K158" s="57"/>
      <c r="L158" s="57"/>
      <c r="M158" s="57"/>
      <c r="N158" s="57"/>
      <c r="O158" s="57"/>
      <c r="P158" s="68"/>
      <c r="Q158" s="58"/>
      <c r="R158" s="93">
        <v>2200</v>
      </c>
      <c r="S158" s="74">
        <f t="shared" si="144"/>
        <v>0</v>
      </c>
      <c r="T158" s="95">
        <f t="shared" si="141"/>
        <v>2200</v>
      </c>
      <c r="U158" s="112"/>
      <c r="V158" s="57">
        <v>2200</v>
      </c>
      <c r="W158" s="57"/>
      <c r="X158" s="57"/>
      <c r="Y158" s="57"/>
      <c r="Z158" s="57"/>
      <c r="AA158" s="57"/>
      <c r="AB158" s="68"/>
      <c r="AC158" s="58"/>
      <c r="AD158" s="170">
        <v>459.29</v>
      </c>
      <c r="AE158" s="89">
        <f t="shared" si="124"/>
        <v>-459.29</v>
      </c>
      <c r="AF158" s="216">
        <f t="shared" si="125"/>
        <v>0</v>
      </c>
      <c r="AG158" s="147"/>
      <c r="AH158" s="148"/>
      <c r="AI158" s="148"/>
      <c r="AJ158" s="148"/>
      <c r="AK158" s="148"/>
      <c r="AL158" s="148"/>
      <c r="AM158" s="148"/>
      <c r="AN158" s="149"/>
      <c r="AO158" s="150"/>
      <c r="AP158" s="76"/>
      <c r="AQ158" s="76"/>
      <c r="AR158" s="128"/>
      <c r="AS158" s="108">
        <f t="shared" si="126"/>
        <v>1</v>
      </c>
      <c r="AT158" s="249">
        <f t="shared" si="127"/>
        <v>1</v>
      </c>
      <c r="AU158" s="249">
        <f t="shared" si="128"/>
        <v>0.20876818181818182</v>
      </c>
      <c r="AV158" s="249">
        <f t="shared" si="129"/>
        <v>0</v>
      </c>
    </row>
    <row r="159" spans="1:48" outlineLevel="1" x14ac:dyDescent="0.25">
      <c r="A159" s="4" t="s">
        <v>1060</v>
      </c>
      <c r="B159" s="75" t="s">
        <v>47</v>
      </c>
      <c r="C159" s="25"/>
      <c r="D159" s="92">
        <v>1</v>
      </c>
      <c r="E159" s="110">
        <v>7000</v>
      </c>
      <c r="F159" s="93">
        <f>D159*E159</f>
        <v>7000</v>
      </c>
      <c r="G159" s="74">
        <f t="shared" si="133"/>
        <v>0</v>
      </c>
      <c r="H159" s="95">
        <f t="shared" si="112"/>
        <v>7000</v>
      </c>
      <c r="I159" s="112"/>
      <c r="J159" s="57">
        <v>7000</v>
      </c>
      <c r="K159" s="57"/>
      <c r="L159" s="57"/>
      <c r="M159" s="57"/>
      <c r="N159" s="57"/>
      <c r="O159" s="57"/>
      <c r="P159" s="68"/>
      <c r="Q159" s="58"/>
      <c r="R159" s="93">
        <v>7000</v>
      </c>
      <c r="S159" s="74">
        <f t="shared" si="144"/>
        <v>0</v>
      </c>
      <c r="T159" s="95">
        <f t="shared" si="141"/>
        <v>7000</v>
      </c>
      <c r="U159" s="112"/>
      <c r="V159" s="57">
        <v>7000</v>
      </c>
      <c r="W159" s="57"/>
      <c r="X159" s="57"/>
      <c r="Y159" s="57"/>
      <c r="Z159" s="57"/>
      <c r="AA159" s="57"/>
      <c r="AB159" s="68"/>
      <c r="AC159" s="58"/>
      <c r="AD159" s="170">
        <v>368.36</v>
      </c>
      <c r="AE159" s="89">
        <f t="shared" si="124"/>
        <v>-368.36</v>
      </c>
      <c r="AF159" s="216">
        <f t="shared" si="125"/>
        <v>0</v>
      </c>
      <c r="AG159" s="147"/>
      <c r="AH159" s="148"/>
      <c r="AI159" s="148"/>
      <c r="AJ159" s="148"/>
      <c r="AK159" s="148"/>
      <c r="AL159" s="148"/>
      <c r="AM159" s="148"/>
      <c r="AN159" s="149"/>
      <c r="AO159" s="150"/>
      <c r="AP159" s="76"/>
      <c r="AQ159" s="76"/>
      <c r="AR159" s="128"/>
      <c r="AS159" s="108">
        <f t="shared" si="126"/>
        <v>1</v>
      </c>
      <c r="AT159" s="249">
        <f t="shared" si="127"/>
        <v>1</v>
      </c>
      <c r="AU159" s="249">
        <f t="shared" si="128"/>
        <v>5.2622857142857145E-2</v>
      </c>
      <c r="AV159" s="249">
        <f t="shared" si="129"/>
        <v>0</v>
      </c>
    </row>
    <row r="160" spans="1:48" s="280" customFormat="1" ht="15.75" x14ac:dyDescent="0.25">
      <c r="A160" s="270" t="s">
        <v>150</v>
      </c>
      <c r="B160" s="271" t="s">
        <v>228</v>
      </c>
      <c r="C160" s="272"/>
      <c r="D160" s="273"/>
      <c r="E160" s="274"/>
      <c r="F160" s="264">
        <f>SUM(F161:F164)</f>
        <v>47498</v>
      </c>
      <c r="G160" s="265">
        <f t="shared" si="133"/>
        <v>0</v>
      </c>
      <c r="H160" s="275">
        <f t="shared" si="112"/>
        <v>47498</v>
      </c>
      <c r="I160" s="267">
        <f t="shared" ref="I160:Q160" si="148">SUM(I161:I164)</f>
        <v>1753</v>
      </c>
      <c r="J160" s="268">
        <f t="shared" si="148"/>
        <v>45745</v>
      </c>
      <c r="K160" s="268">
        <f t="shared" si="148"/>
        <v>0</v>
      </c>
      <c r="L160" s="268">
        <f t="shared" si="148"/>
        <v>0</v>
      </c>
      <c r="M160" s="268">
        <f t="shared" si="148"/>
        <v>0</v>
      </c>
      <c r="N160" s="268">
        <f t="shared" si="148"/>
        <v>0</v>
      </c>
      <c r="O160" s="268">
        <f t="shared" si="148"/>
        <v>0</v>
      </c>
      <c r="P160" s="268">
        <f t="shared" si="148"/>
        <v>0</v>
      </c>
      <c r="Q160" s="269">
        <f t="shared" si="148"/>
        <v>0</v>
      </c>
      <c r="R160" s="264">
        <f>SUM(R161:R164)</f>
        <v>47498</v>
      </c>
      <c r="S160" s="265">
        <f t="shared" si="144"/>
        <v>0</v>
      </c>
      <c r="T160" s="275">
        <f t="shared" si="141"/>
        <v>47498</v>
      </c>
      <c r="U160" s="267">
        <f t="shared" ref="U160:AC160" si="149">SUM(U161:U164)</f>
        <v>1753</v>
      </c>
      <c r="V160" s="268">
        <f t="shared" si="149"/>
        <v>45745</v>
      </c>
      <c r="W160" s="268">
        <f t="shared" si="149"/>
        <v>0</v>
      </c>
      <c r="X160" s="268">
        <f t="shared" si="149"/>
        <v>0</v>
      </c>
      <c r="Y160" s="268">
        <f t="shared" si="149"/>
        <v>0</v>
      </c>
      <c r="Z160" s="268">
        <f t="shared" si="149"/>
        <v>0</v>
      </c>
      <c r="AA160" s="268">
        <f t="shared" si="149"/>
        <v>0</v>
      </c>
      <c r="AB160" s="268">
        <f t="shared" si="149"/>
        <v>0</v>
      </c>
      <c r="AC160" s="269">
        <f t="shared" si="149"/>
        <v>0</v>
      </c>
      <c r="AD160" s="264">
        <f>SUM(AD161:AD164)</f>
        <v>15222.36</v>
      </c>
      <c r="AE160" s="265">
        <f t="shared" si="124"/>
        <v>-15222.36</v>
      </c>
      <c r="AF160" s="266">
        <f t="shared" si="125"/>
        <v>0</v>
      </c>
      <c r="AG160" s="267">
        <f t="shared" ref="AG160:AO160" si="150">SUM(AG161:AG164)</f>
        <v>0</v>
      </c>
      <c r="AH160" s="268">
        <f t="shared" si="150"/>
        <v>0</v>
      </c>
      <c r="AI160" s="268">
        <f t="shared" si="150"/>
        <v>0</v>
      </c>
      <c r="AJ160" s="268">
        <f t="shared" si="150"/>
        <v>0</v>
      </c>
      <c r="AK160" s="268">
        <f t="shared" si="150"/>
        <v>0</v>
      </c>
      <c r="AL160" s="268">
        <f t="shared" si="150"/>
        <v>0</v>
      </c>
      <c r="AM160" s="268">
        <f t="shared" si="150"/>
        <v>0</v>
      </c>
      <c r="AN160" s="268">
        <f t="shared" si="150"/>
        <v>0</v>
      </c>
      <c r="AO160" s="269">
        <f t="shared" si="150"/>
        <v>0</v>
      </c>
      <c r="AP160" s="276">
        <v>47500</v>
      </c>
      <c r="AQ160" s="276">
        <f>41503</f>
        <v>41503</v>
      </c>
      <c r="AR160" s="277">
        <f>AQ160*100/AP160</f>
        <v>87.374736842105264</v>
      </c>
      <c r="AS160" s="278">
        <f t="shared" si="126"/>
        <v>1</v>
      </c>
      <c r="AT160" s="279">
        <f t="shared" si="127"/>
        <v>1</v>
      </c>
      <c r="AU160" s="279">
        <f t="shared" si="128"/>
        <v>0.3204842309149859</v>
      </c>
      <c r="AV160" s="279">
        <f t="shared" si="129"/>
        <v>0</v>
      </c>
    </row>
    <row r="161" spans="1:48" outlineLevel="1" x14ac:dyDescent="0.25">
      <c r="A161" s="4" t="s">
        <v>151</v>
      </c>
      <c r="B161" s="75" t="s">
        <v>871</v>
      </c>
      <c r="C161" s="25"/>
      <c r="D161" s="92">
        <v>1</v>
      </c>
      <c r="E161" s="110">
        <v>5590</v>
      </c>
      <c r="F161" s="93">
        <f>D161*E161</f>
        <v>5590</v>
      </c>
      <c r="G161" s="74">
        <f t="shared" si="133"/>
        <v>0</v>
      </c>
      <c r="H161" s="95">
        <f t="shared" si="112"/>
        <v>5590</v>
      </c>
      <c r="I161" s="112"/>
      <c r="J161" s="57">
        <v>5590</v>
      </c>
      <c r="K161" s="57"/>
      <c r="L161" s="57"/>
      <c r="M161" s="57"/>
      <c r="N161" s="57"/>
      <c r="O161" s="57"/>
      <c r="P161" s="68"/>
      <c r="Q161" s="58"/>
      <c r="R161" s="93">
        <v>5590</v>
      </c>
      <c r="S161" s="74">
        <f t="shared" si="144"/>
        <v>0</v>
      </c>
      <c r="T161" s="95">
        <f t="shared" si="141"/>
        <v>5590</v>
      </c>
      <c r="U161" s="112"/>
      <c r="V161" s="57">
        <v>5590</v>
      </c>
      <c r="W161" s="57"/>
      <c r="X161" s="57"/>
      <c r="Y161" s="57"/>
      <c r="Z161" s="57"/>
      <c r="AA161" s="57"/>
      <c r="AB161" s="68"/>
      <c r="AC161" s="58"/>
      <c r="AD161" s="170">
        <v>2034.94</v>
      </c>
      <c r="AE161" s="89">
        <f t="shared" si="124"/>
        <v>-2034.94</v>
      </c>
      <c r="AF161" s="216">
        <f t="shared" si="125"/>
        <v>0</v>
      </c>
      <c r="AG161" s="147"/>
      <c r="AH161" s="148"/>
      <c r="AI161" s="148"/>
      <c r="AJ161" s="148"/>
      <c r="AK161" s="148"/>
      <c r="AL161" s="148"/>
      <c r="AM161" s="148"/>
      <c r="AN161" s="149"/>
      <c r="AO161" s="150"/>
      <c r="AP161" s="76"/>
      <c r="AQ161" s="76"/>
      <c r="AR161" s="128"/>
      <c r="AS161" s="108">
        <f t="shared" si="126"/>
        <v>1</v>
      </c>
      <c r="AT161" s="249">
        <f t="shared" si="127"/>
        <v>1</v>
      </c>
      <c r="AU161" s="249">
        <f t="shared" si="128"/>
        <v>0.36403220035778178</v>
      </c>
      <c r="AV161" s="249">
        <f t="shared" si="129"/>
        <v>0</v>
      </c>
    </row>
    <row r="162" spans="1:48" outlineLevel="1" x14ac:dyDescent="0.25">
      <c r="A162" s="6" t="s">
        <v>154</v>
      </c>
      <c r="B162" s="75" t="s">
        <v>872</v>
      </c>
      <c r="C162" s="25"/>
      <c r="D162" s="92">
        <v>1</v>
      </c>
      <c r="E162" s="110">
        <v>13468</v>
      </c>
      <c r="F162" s="93">
        <f>D162*E162</f>
        <v>13468</v>
      </c>
      <c r="G162" s="74">
        <f t="shared" si="133"/>
        <v>0</v>
      </c>
      <c r="H162" s="95">
        <f t="shared" si="112"/>
        <v>13468</v>
      </c>
      <c r="I162" s="112"/>
      <c r="J162" s="57">
        <v>13468</v>
      </c>
      <c r="K162" s="57"/>
      <c r="L162" s="57"/>
      <c r="M162" s="57"/>
      <c r="N162" s="57"/>
      <c r="O162" s="57"/>
      <c r="P162" s="68"/>
      <c r="Q162" s="58"/>
      <c r="R162" s="93">
        <v>13468</v>
      </c>
      <c r="S162" s="74">
        <f t="shared" si="144"/>
        <v>0</v>
      </c>
      <c r="T162" s="95">
        <f t="shared" si="141"/>
        <v>13468</v>
      </c>
      <c r="U162" s="112"/>
      <c r="V162" s="57">
        <v>13468</v>
      </c>
      <c r="W162" s="57"/>
      <c r="X162" s="57"/>
      <c r="Y162" s="57"/>
      <c r="Z162" s="57"/>
      <c r="AA162" s="57"/>
      <c r="AB162" s="68"/>
      <c r="AC162" s="58"/>
      <c r="AD162" s="170">
        <v>6428.86</v>
      </c>
      <c r="AE162" s="89">
        <f t="shared" si="124"/>
        <v>-6428.86</v>
      </c>
      <c r="AF162" s="216">
        <f t="shared" si="125"/>
        <v>0</v>
      </c>
      <c r="AG162" s="147"/>
      <c r="AH162" s="148"/>
      <c r="AI162" s="148"/>
      <c r="AJ162" s="148"/>
      <c r="AK162" s="148"/>
      <c r="AL162" s="148"/>
      <c r="AM162" s="148"/>
      <c r="AN162" s="149"/>
      <c r="AO162" s="150"/>
      <c r="AP162" s="76"/>
      <c r="AQ162" s="76"/>
      <c r="AR162" s="128"/>
      <c r="AS162" s="108">
        <f t="shared" si="126"/>
        <v>1</v>
      </c>
      <c r="AT162" s="249">
        <f t="shared" si="127"/>
        <v>1</v>
      </c>
      <c r="AU162" s="249">
        <f t="shared" si="128"/>
        <v>0.47734333234333232</v>
      </c>
      <c r="AV162" s="249">
        <f t="shared" si="129"/>
        <v>0</v>
      </c>
    </row>
    <row r="163" spans="1:48" outlineLevel="1" x14ac:dyDescent="0.25">
      <c r="A163" s="4" t="s">
        <v>1061</v>
      </c>
      <c r="B163" s="75" t="s">
        <v>873</v>
      </c>
      <c r="C163" s="25"/>
      <c r="D163" s="92">
        <v>1</v>
      </c>
      <c r="E163" s="110">
        <v>28440</v>
      </c>
      <c r="F163" s="93">
        <f>D163*E163</f>
        <v>28440</v>
      </c>
      <c r="G163" s="74">
        <f t="shared" si="133"/>
        <v>0</v>
      </c>
      <c r="H163" s="95">
        <f t="shared" si="112"/>
        <v>28440</v>
      </c>
      <c r="I163" s="112">
        <v>1753</v>
      </c>
      <c r="J163" s="57">
        <f>28440-1753</f>
        <v>26687</v>
      </c>
      <c r="K163" s="57">
        <v>0</v>
      </c>
      <c r="L163" s="57"/>
      <c r="M163" s="57"/>
      <c r="N163" s="57"/>
      <c r="O163" s="57"/>
      <c r="P163" s="68"/>
      <c r="Q163" s="58"/>
      <c r="R163" s="93">
        <v>28440</v>
      </c>
      <c r="S163" s="74">
        <f t="shared" si="144"/>
        <v>0</v>
      </c>
      <c r="T163" s="95">
        <f t="shared" si="141"/>
        <v>28440</v>
      </c>
      <c r="U163" s="112">
        <v>1753</v>
      </c>
      <c r="V163" s="57">
        <f>28440-1753</f>
        <v>26687</v>
      </c>
      <c r="W163" s="57">
        <v>0</v>
      </c>
      <c r="X163" s="57"/>
      <c r="Y163" s="57"/>
      <c r="Z163" s="57"/>
      <c r="AA163" s="57"/>
      <c r="AB163" s="68"/>
      <c r="AC163" s="58"/>
      <c r="AD163" s="170">
        <v>6758.56</v>
      </c>
      <c r="AE163" s="89">
        <f t="shared" si="124"/>
        <v>-6758.56</v>
      </c>
      <c r="AF163" s="216">
        <f t="shared" si="125"/>
        <v>0</v>
      </c>
      <c r="AG163" s="147"/>
      <c r="AH163" s="148"/>
      <c r="AI163" s="148">
        <v>0</v>
      </c>
      <c r="AJ163" s="148"/>
      <c r="AK163" s="148"/>
      <c r="AL163" s="148"/>
      <c r="AM163" s="148"/>
      <c r="AN163" s="149"/>
      <c r="AO163" s="150"/>
      <c r="AP163" s="76"/>
      <c r="AQ163" s="76"/>
      <c r="AR163" s="128"/>
      <c r="AS163" s="108">
        <f t="shared" si="126"/>
        <v>1</v>
      </c>
      <c r="AT163" s="249">
        <f t="shared" si="127"/>
        <v>1</v>
      </c>
      <c r="AU163" s="249">
        <f t="shared" si="128"/>
        <v>0.23764275668073137</v>
      </c>
      <c r="AV163" s="249">
        <f t="shared" si="129"/>
        <v>0</v>
      </c>
    </row>
    <row r="164" spans="1:48" outlineLevel="1" x14ac:dyDescent="0.25">
      <c r="A164" s="4" t="s">
        <v>1062</v>
      </c>
      <c r="B164" s="75" t="s">
        <v>47</v>
      </c>
      <c r="C164" s="25"/>
      <c r="D164" s="92"/>
      <c r="E164" s="110"/>
      <c r="F164" s="93">
        <f>D164*E164</f>
        <v>0</v>
      </c>
      <c r="G164" s="74">
        <f t="shared" si="133"/>
        <v>0</v>
      </c>
      <c r="H164" s="95">
        <f t="shared" si="112"/>
        <v>0</v>
      </c>
      <c r="I164" s="112"/>
      <c r="J164" s="57"/>
      <c r="K164" s="57"/>
      <c r="L164" s="57"/>
      <c r="M164" s="57"/>
      <c r="N164" s="57"/>
      <c r="O164" s="57"/>
      <c r="P164" s="68"/>
      <c r="Q164" s="58"/>
      <c r="R164" s="93">
        <v>0</v>
      </c>
      <c r="S164" s="74">
        <f t="shared" si="144"/>
        <v>0</v>
      </c>
      <c r="T164" s="95">
        <f t="shared" si="141"/>
        <v>0</v>
      </c>
      <c r="U164" s="112"/>
      <c r="V164" s="57"/>
      <c r="W164" s="57"/>
      <c r="X164" s="57"/>
      <c r="Y164" s="57"/>
      <c r="Z164" s="57"/>
      <c r="AA164" s="57"/>
      <c r="AB164" s="68"/>
      <c r="AC164" s="58"/>
      <c r="AD164" s="170">
        <f>P164*Q164</f>
        <v>0</v>
      </c>
      <c r="AE164" s="89">
        <f t="shared" si="124"/>
        <v>0</v>
      </c>
      <c r="AF164" s="216">
        <f t="shared" si="125"/>
        <v>0</v>
      </c>
      <c r="AG164" s="147"/>
      <c r="AH164" s="148"/>
      <c r="AI164" s="148"/>
      <c r="AJ164" s="148"/>
      <c r="AK164" s="148"/>
      <c r="AL164" s="148"/>
      <c r="AM164" s="148"/>
      <c r="AN164" s="149"/>
      <c r="AO164" s="150"/>
      <c r="AP164" s="76"/>
      <c r="AQ164" s="76"/>
      <c r="AR164" s="128"/>
      <c r="AS164" s="108"/>
      <c r="AT164" s="249"/>
      <c r="AU164" s="249"/>
      <c r="AV164" s="249"/>
    </row>
    <row r="165" spans="1:48" s="280" customFormat="1" ht="15.75" x14ac:dyDescent="0.25">
      <c r="A165" s="270" t="s">
        <v>1063</v>
      </c>
      <c r="B165" s="271" t="s">
        <v>495</v>
      </c>
      <c r="C165" s="272"/>
      <c r="D165" s="273"/>
      <c r="E165" s="274"/>
      <c r="F165" s="264">
        <f>SUM(F166:F167)</f>
        <v>16500</v>
      </c>
      <c r="G165" s="265">
        <f t="shared" si="133"/>
        <v>0</v>
      </c>
      <c r="H165" s="275">
        <f t="shared" si="112"/>
        <v>16500</v>
      </c>
      <c r="I165" s="267">
        <f t="shared" ref="I165:Q165" si="151">SUM(I166:I167)</f>
        <v>16500</v>
      </c>
      <c r="J165" s="268">
        <f t="shared" si="151"/>
        <v>0</v>
      </c>
      <c r="K165" s="268">
        <f t="shared" si="151"/>
        <v>0</v>
      </c>
      <c r="L165" s="268">
        <f t="shared" si="151"/>
        <v>0</v>
      </c>
      <c r="M165" s="268">
        <f t="shared" si="151"/>
        <v>0</v>
      </c>
      <c r="N165" s="268">
        <f t="shared" si="151"/>
        <v>0</v>
      </c>
      <c r="O165" s="268">
        <f t="shared" si="151"/>
        <v>0</v>
      </c>
      <c r="P165" s="268">
        <f t="shared" si="151"/>
        <v>0</v>
      </c>
      <c r="Q165" s="269">
        <f t="shared" si="151"/>
        <v>0</v>
      </c>
      <c r="R165" s="264">
        <f>SUM(R166:R167)</f>
        <v>16500</v>
      </c>
      <c r="S165" s="265">
        <f t="shared" si="144"/>
        <v>0</v>
      </c>
      <c r="T165" s="275">
        <f t="shared" si="141"/>
        <v>16500</v>
      </c>
      <c r="U165" s="267">
        <f t="shared" ref="U165:AC165" si="152">SUM(U166:U167)</f>
        <v>16500</v>
      </c>
      <c r="V165" s="268">
        <f t="shared" si="152"/>
        <v>0</v>
      </c>
      <c r="W165" s="268">
        <f t="shared" si="152"/>
        <v>0</v>
      </c>
      <c r="X165" s="268">
        <f t="shared" si="152"/>
        <v>0</v>
      </c>
      <c r="Y165" s="268">
        <f t="shared" si="152"/>
        <v>0</v>
      </c>
      <c r="Z165" s="268">
        <f t="shared" si="152"/>
        <v>0</v>
      </c>
      <c r="AA165" s="268">
        <f t="shared" si="152"/>
        <v>0</v>
      </c>
      <c r="AB165" s="268">
        <f t="shared" si="152"/>
        <v>0</v>
      </c>
      <c r="AC165" s="269">
        <f t="shared" si="152"/>
        <v>0</v>
      </c>
      <c r="AD165" s="264">
        <f>SUM(AD166:AD167)</f>
        <v>0</v>
      </c>
      <c r="AE165" s="265">
        <f t="shared" si="124"/>
        <v>0</v>
      </c>
      <c r="AF165" s="266">
        <f t="shared" si="125"/>
        <v>0</v>
      </c>
      <c r="AG165" s="267">
        <f t="shared" ref="AG165:AO165" si="153">SUM(AG166:AG167)</f>
        <v>0</v>
      </c>
      <c r="AH165" s="268">
        <f t="shared" si="153"/>
        <v>0</v>
      </c>
      <c r="AI165" s="268">
        <f t="shared" si="153"/>
        <v>0</v>
      </c>
      <c r="AJ165" s="268">
        <f t="shared" si="153"/>
        <v>0</v>
      </c>
      <c r="AK165" s="268">
        <f t="shared" si="153"/>
        <v>0</v>
      </c>
      <c r="AL165" s="268">
        <f t="shared" si="153"/>
        <v>0</v>
      </c>
      <c r="AM165" s="268">
        <f t="shared" si="153"/>
        <v>0</v>
      </c>
      <c r="AN165" s="268">
        <f t="shared" si="153"/>
        <v>0</v>
      </c>
      <c r="AO165" s="269">
        <f t="shared" si="153"/>
        <v>0</v>
      </c>
      <c r="AP165" s="276">
        <v>16500</v>
      </c>
      <c r="AQ165" s="276">
        <v>16500</v>
      </c>
      <c r="AR165" s="277">
        <f>AQ165*100/AP165</f>
        <v>100</v>
      </c>
      <c r="AS165" s="278">
        <f t="shared" si="126"/>
        <v>1</v>
      </c>
      <c r="AT165" s="279">
        <f t="shared" si="127"/>
        <v>1</v>
      </c>
      <c r="AU165" s="279">
        <f t="shared" si="128"/>
        <v>0</v>
      </c>
      <c r="AV165" s="279">
        <f t="shared" si="129"/>
        <v>0</v>
      </c>
    </row>
    <row r="166" spans="1:48" outlineLevel="1" x14ac:dyDescent="0.25">
      <c r="A166" s="4" t="s">
        <v>1064</v>
      </c>
      <c r="B166" s="75" t="s">
        <v>225</v>
      </c>
      <c r="C166" s="25"/>
      <c r="D166" s="92">
        <v>1</v>
      </c>
      <c r="E166" s="110">
        <v>16500</v>
      </c>
      <c r="F166" s="93">
        <f>D166*E166</f>
        <v>16500</v>
      </c>
      <c r="G166" s="74">
        <f t="shared" si="133"/>
        <v>0</v>
      </c>
      <c r="H166" s="95">
        <f t="shared" si="112"/>
        <v>16500</v>
      </c>
      <c r="I166" s="57">
        <v>16500</v>
      </c>
      <c r="J166" s="57"/>
      <c r="K166" s="57"/>
      <c r="L166" s="57"/>
      <c r="M166" s="57"/>
      <c r="N166" s="57"/>
      <c r="O166" s="57"/>
      <c r="P166" s="68"/>
      <c r="Q166" s="58"/>
      <c r="R166" s="93">
        <v>16500</v>
      </c>
      <c r="S166" s="74">
        <f t="shared" si="144"/>
        <v>0</v>
      </c>
      <c r="T166" s="95">
        <f t="shared" si="141"/>
        <v>16500</v>
      </c>
      <c r="U166" s="57">
        <v>16500</v>
      </c>
      <c r="V166" s="57"/>
      <c r="W166" s="57"/>
      <c r="X166" s="57"/>
      <c r="Y166" s="57"/>
      <c r="Z166" s="57"/>
      <c r="AA166" s="57"/>
      <c r="AB166" s="68"/>
      <c r="AC166" s="58"/>
      <c r="AD166" s="170">
        <f>P166*Q166</f>
        <v>0</v>
      </c>
      <c r="AE166" s="89">
        <f t="shared" si="124"/>
        <v>0</v>
      </c>
      <c r="AF166" s="216">
        <f t="shared" si="125"/>
        <v>0</v>
      </c>
      <c r="AG166" s="148"/>
      <c r="AH166" s="148"/>
      <c r="AI166" s="148"/>
      <c r="AJ166" s="148"/>
      <c r="AK166" s="148"/>
      <c r="AL166" s="148"/>
      <c r="AM166" s="148"/>
      <c r="AN166" s="149"/>
      <c r="AO166" s="150"/>
      <c r="AP166" s="76"/>
      <c r="AQ166" s="76"/>
      <c r="AR166" s="128"/>
      <c r="AS166" s="108">
        <f t="shared" si="126"/>
        <v>1</v>
      </c>
      <c r="AT166" s="249">
        <f t="shared" si="127"/>
        <v>1</v>
      </c>
      <c r="AU166" s="249">
        <f t="shared" si="128"/>
        <v>0</v>
      </c>
      <c r="AV166" s="249">
        <f t="shared" si="129"/>
        <v>0</v>
      </c>
    </row>
    <row r="167" spans="1:48" outlineLevel="1" x14ac:dyDescent="0.25">
      <c r="A167" s="6" t="s">
        <v>1065</v>
      </c>
      <c r="B167" s="75" t="s">
        <v>496</v>
      </c>
      <c r="C167" s="25"/>
      <c r="D167" s="92"/>
      <c r="E167" s="110"/>
      <c r="F167" s="93">
        <f>D167*E167</f>
        <v>0</v>
      </c>
      <c r="G167" s="74">
        <f t="shared" si="133"/>
        <v>0</v>
      </c>
      <c r="H167" s="95">
        <f t="shared" si="112"/>
        <v>0</v>
      </c>
      <c r="I167" s="112"/>
      <c r="J167" s="57"/>
      <c r="K167" s="57"/>
      <c r="L167" s="57"/>
      <c r="M167" s="57"/>
      <c r="N167" s="57"/>
      <c r="O167" s="57"/>
      <c r="P167" s="68"/>
      <c r="Q167" s="58"/>
      <c r="R167" s="93">
        <f>P167*Q167</f>
        <v>0</v>
      </c>
      <c r="S167" s="74">
        <f t="shared" si="144"/>
        <v>0</v>
      </c>
      <c r="T167" s="95">
        <f t="shared" si="141"/>
        <v>0</v>
      </c>
      <c r="U167" s="112"/>
      <c r="V167" s="57"/>
      <c r="W167" s="57"/>
      <c r="X167" s="57"/>
      <c r="Y167" s="57"/>
      <c r="Z167" s="57"/>
      <c r="AA167" s="57"/>
      <c r="AB167" s="68"/>
      <c r="AC167" s="58"/>
      <c r="AD167" s="170">
        <f>P167*Q167</f>
        <v>0</v>
      </c>
      <c r="AE167" s="89">
        <f t="shared" si="124"/>
        <v>0</v>
      </c>
      <c r="AF167" s="216">
        <f t="shared" si="125"/>
        <v>0</v>
      </c>
      <c r="AG167" s="147"/>
      <c r="AH167" s="148"/>
      <c r="AI167" s="148"/>
      <c r="AJ167" s="148"/>
      <c r="AK167" s="148"/>
      <c r="AL167" s="148"/>
      <c r="AM167" s="148"/>
      <c r="AN167" s="149"/>
      <c r="AO167" s="150"/>
      <c r="AP167" s="76"/>
      <c r="AQ167" s="76"/>
      <c r="AR167" s="128"/>
      <c r="AS167" s="108"/>
      <c r="AT167" s="249"/>
      <c r="AU167" s="249"/>
      <c r="AV167" s="249"/>
    </row>
    <row r="168" spans="1:48" s="2" customFormat="1" ht="21" x14ac:dyDescent="0.35">
      <c r="A168" s="8" t="s">
        <v>158</v>
      </c>
      <c r="B168" s="12" t="s">
        <v>210</v>
      </c>
      <c r="C168" s="21"/>
      <c r="D168" s="22"/>
      <c r="E168" s="15"/>
      <c r="F168" s="84">
        <f>F169+F175+F182+F186+F189+F193+F199+F210+F215</f>
        <v>186989</v>
      </c>
      <c r="G168" s="89">
        <f t="shared" si="133"/>
        <v>9700</v>
      </c>
      <c r="H168" s="16">
        <f t="shared" si="112"/>
        <v>196689</v>
      </c>
      <c r="I168" s="51">
        <f t="shared" ref="I168:Q168" si="154">I169+I175+I182+I186+I189+I193+I199+I210+I215</f>
        <v>0</v>
      </c>
      <c r="J168" s="105">
        <f t="shared" si="154"/>
        <v>185349</v>
      </c>
      <c r="K168" s="51">
        <f t="shared" si="154"/>
        <v>4840</v>
      </c>
      <c r="L168" s="51">
        <f t="shared" si="154"/>
        <v>0</v>
      </c>
      <c r="M168" s="51">
        <f t="shared" si="154"/>
        <v>0</v>
      </c>
      <c r="N168" s="51">
        <f t="shared" si="154"/>
        <v>0</v>
      </c>
      <c r="O168" s="51">
        <f t="shared" si="154"/>
        <v>0</v>
      </c>
      <c r="P168" s="51">
        <f t="shared" si="154"/>
        <v>6500</v>
      </c>
      <c r="Q168" s="59">
        <f t="shared" si="154"/>
        <v>0</v>
      </c>
      <c r="R168" s="84">
        <f>R169+R175+R182+R186+R189+R193+R199+R210+R215</f>
        <v>186989</v>
      </c>
      <c r="S168" s="89">
        <f t="shared" si="144"/>
        <v>6249</v>
      </c>
      <c r="T168" s="16">
        <f t="shared" si="141"/>
        <v>193238</v>
      </c>
      <c r="U168" s="51">
        <f t="shared" ref="U168:AC168" si="155">U169+U175+U182+U186+U189+U193+U199+U210+U215</f>
        <v>0</v>
      </c>
      <c r="V168" s="105">
        <f t="shared" si="155"/>
        <v>185349</v>
      </c>
      <c r="W168" s="218">
        <f t="shared" si="155"/>
        <v>1389</v>
      </c>
      <c r="X168" s="51">
        <f t="shared" si="155"/>
        <v>0</v>
      </c>
      <c r="Y168" s="51">
        <f t="shared" si="155"/>
        <v>0</v>
      </c>
      <c r="Z168" s="51">
        <f t="shared" si="155"/>
        <v>0</v>
      </c>
      <c r="AA168" s="51">
        <f t="shared" si="155"/>
        <v>0</v>
      </c>
      <c r="AB168" s="51">
        <f t="shared" si="155"/>
        <v>6500</v>
      </c>
      <c r="AC168" s="59">
        <f t="shared" si="155"/>
        <v>0</v>
      </c>
      <c r="AD168" s="255">
        <f>AD169+AD175+AD182+AD186+AD189+AD193+AD199+AD210+AD215</f>
        <v>41103.550000000003</v>
      </c>
      <c r="AE168" s="256">
        <f t="shared" si="124"/>
        <v>-15868.000000000004</v>
      </c>
      <c r="AF168" s="257">
        <f t="shared" si="125"/>
        <v>25235.55</v>
      </c>
      <c r="AG168" s="260">
        <f>AG169+AG175+AG182+AG186+AG189+AG193+AG199+AG210+AG215</f>
        <v>0</v>
      </c>
      <c r="AH168" s="262">
        <f>25235.55-72</f>
        <v>25163.55</v>
      </c>
      <c r="AI168" s="260">
        <f t="shared" ref="AI168:AN168" si="156">AI169+AI175+AI182+AI186+AI189+AI193+AI199+AI210+AI215</f>
        <v>0</v>
      </c>
      <c r="AJ168" s="260">
        <f t="shared" si="156"/>
        <v>0</v>
      </c>
      <c r="AK168" s="260">
        <f t="shared" si="156"/>
        <v>0</v>
      </c>
      <c r="AL168" s="260">
        <f t="shared" si="156"/>
        <v>0</v>
      </c>
      <c r="AM168" s="260">
        <f t="shared" si="156"/>
        <v>0</v>
      </c>
      <c r="AN168" s="260">
        <f t="shared" si="156"/>
        <v>0</v>
      </c>
      <c r="AO168" s="261">
        <v>72</v>
      </c>
      <c r="AP168" s="32">
        <f>+AP169+AP175+AP182+AP186+AP189+AP193+AP199+AP210+AP215</f>
        <v>196098</v>
      </c>
      <c r="AQ168" s="32">
        <f>AQ169+AQ175+AQ182+AQ186+AQ189+AQ193+AQ199+AQ210+AQ215</f>
        <v>126597.55</v>
      </c>
      <c r="AR168" s="126">
        <f>AQ168*100/AP168</f>
        <v>64.558307580903431</v>
      </c>
      <c r="AS168" s="108">
        <f t="shared" si="126"/>
        <v>1</v>
      </c>
      <c r="AT168" s="249">
        <f t="shared" si="127"/>
        <v>0.98245453482401146</v>
      </c>
      <c r="AU168" s="249">
        <f t="shared" si="128"/>
        <v>0.21981801068512052</v>
      </c>
      <c r="AV168" s="249">
        <f t="shared" si="129"/>
        <v>0.12830178606836173</v>
      </c>
    </row>
    <row r="169" spans="1:48" s="280" customFormat="1" ht="15.75" x14ac:dyDescent="0.25">
      <c r="A169" s="270" t="s">
        <v>159</v>
      </c>
      <c r="B169" s="271" t="s">
        <v>312</v>
      </c>
      <c r="C169" s="272"/>
      <c r="D169" s="273"/>
      <c r="E169" s="274"/>
      <c r="F169" s="264">
        <f>SUM(F170:F174)</f>
        <v>29500</v>
      </c>
      <c r="G169" s="265">
        <f t="shared" si="133"/>
        <v>0</v>
      </c>
      <c r="H169" s="275">
        <f t="shared" si="112"/>
        <v>29500</v>
      </c>
      <c r="I169" s="267">
        <f t="shared" ref="I169:Q169" si="157">SUM(I170:I174)</f>
        <v>0</v>
      </c>
      <c r="J169" s="268">
        <f t="shared" si="157"/>
        <v>29500</v>
      </c>
      <c r="K169" s="268">
        <f t="shared" si="157"/>
        <v>0</v>
      </c>
      <c r="L169" s="268">
        <f t="shared" si="157"/>
        <v>0</v>
      </c>
      <c r="M169" s="268">
        <f>SUM(M170:M174)</f>
        <v>0</v>
      </c>
      <c r="N169" s="268">
        <f t="shared" si="157"/>
        <v>0</v>
      </c>
      <c r="O169" s="268">
        <f t="shared" si="157"/>
        <v>0</v>
      </c>
      <c r="P169" s="268">
        <f t="shared" si="157"/>
        <v>0</v>
      </c>
      <c r="Q169" s="269">
        <f t="shared" si="157"/>
        <v>0</v>
      </c>
      <c r="R169" s="264">
        <f>SUM(R170:R174)</f>
        <v>29500</v>
      </c>
      <c r="S169" s="265">
        <f t="shared" si="144"/>
        <v>0</v>
      </c>
      <c r="T169" s="275">
        <f t="shared" si="141"/>
        <v>29500</v>
      </c>
      <c r="U169" s="267">
        <f t="shared" ref="U169:AD169" si="158">SUM(U170:U174)</f>
        <v>0</v>
      </c>
      <c r="V169" s="268">
        <f t="shared" si="158"/>
        <v>29500</v>
      </c>
      <c r="W169" s="268">
        <f t="shared" si="158"/>
        <v>0</v>
      </c>
      <c r="X169" s="268">
        <f t="shared" si="158"/>
        <v>0</v>
      </c>
      <c r="Y169" s="268">
        <f t="shared" si="158"/>
        <v>0</v>
      </c>
      <c r="Z169" s="268">
        <f t="shared" si="158"/>
        <v>0</v>
      </c>
      <c r="AA169" s="268">
        <f t="shared" si="158"/>
        <v>0</v>
      </c>
      <c r="AB169" s="268">
        <f t="shared" si="158"/>
        <v>0</v>
      </c>
      <c r="AC169" s="269">
        <f t="shared" si="158"/>
        <v>0</v>
      </c>
      <c r="AD169" s="264">
        <f t="shared" si="158"/>
        <v>1126.0900000000001</v>
      </c>
      <c r="AE169" s="265">
        <f t="shared" si="124"/>
        <v>-1126.0900000000001</v>
      </c>
      <c r="AF169" s="266">
        <f t="shared" si="125"/>
        <v>0</v>
      </c>
      <c r="AG169" s="267">
        <f t="shared" ref="AG169:AO169" si="159">SUM(AG170:AG174)</f>
        <v>0</v>
      </c>
      <c r="AH169" s="268">
        <f t="shared" si="159"/>
        <v>0</v>
      </c>
      <c r="AI169" s="268">
        <f t="shared" si="159"/>
        <v>0</v>
      </c>
      <c r="AJ169" s="268">
        <f t="shared" si="159"/>
        <v>0</v>
      </c>
      <c r="AK169" s="268">
        <f t="shared" si="159"/>
        <v>0</v>
      </c>
      <c r="AL169" s="268">
        <f t="shared" si="159"/>
        <v>0</v>
      </c>
      <c r="AM169" s="268">
        <f t="shared" si="159"/>
        <v>0</v>
      </c>
      <c r="AN169" s="268">
        <f t="shared" si="159"/>
        <v>0</v>
      </c>
      <c r="AO169" s="269">
        <f t="shared" si="159"/>
        <v>0</v>
      </c>
      <c r="AP169" s="281">
        <v>27898</v>
      </c>
      <c r="AQ169" s="281">
        <f>3100+6388.56+500+200.28+1871.29+390.37+178+4992.93+9381.3+41706.39-13902.13-13902.13+6149.99+21229.56-6499.15-8231.26+235.12+4434.49</f>
        <v>58223.61</v>
      </c>
      <c r="AR169" s="277">
        <f>AQ169*100/AP169</f>
        <v>208.70173489139006</v>
      </c>
      <c r="AS169" s="278">
        <f t="shared" si="126"/>
        <v>1</v>
      </c>
      <c r="AT169" s="279">
        <f t="shared" si="127"/>
        <v>1</v>
      </c>
      <c r="AU169" s="279">
        <f t="shared" si="128"/>
        <v>3.8172542372881361E-2</v>
      </c>
      <c r="AV169" s="279">
        <f t="shared" si="129"/>
        <v>0</v>
      </c>
    </row>
    <row r="170" spans="1:48" outlineLevel="1" x14ac:dyDescent="0.25">
      <c r="A170" s="5" t="s">
        <v>160</v>
      </c>
      <c r="B170" s="75" t="s">
        <v>840</v>
      </c>
      <c r="C170" s="25" t="s">
        <v>838</v>
      </c>
      <c r="D170" s="92">
        <v>1</v>
      </c>
      <c r="E170" s="110">
        <v>5500</v>
      </c>
      <c r="F170" s="93">
        <f>D170*E170</f>
        <v>5500</v>
      </c>
      <c r="G170" s="74">
        <f t="shared" si="133"/>
        <v>0</v>
      </c>
      <c r="H170" s="95">
        <f t="shared" si="112"/>
        <v>5500</v>
      </c>
      <c r="I170" s="112"/>
      <c r="J170" s="57">
        <v>5500</v>
      </c>
      <c r="K170" s="57"/>
      <c r="L170" s="57"/>
      <c r="M170" s="57"/>
      <c r="N170" s="57"/>
      <c r="O170" s="57"/>
      <c r="P170" s="68"/>
      <c r="Q170" s="58"/>
      <c r="R170" s="93">
        <v>5500</v>
      </c>
      <c r="S170" s="74">
        <f t="shared" si="144"/>
        <v>0</v>
      </c>
      <c r="T170" s="95">
        <f t="shared" si="141"/>
        <v>5500</v>
      </c>
      <c r="U170" s="112"/>
      <c r="V170" s="57">
        <v>5500</v>
      </c>
      <c r="W170" s="57"/>
      <c r="X170" s="57"/>
      <c r="Y170" s="57"/>
      <c r="Z170" s="57"/>
      <c r="AA170" s="57"/>
      <c r="AB170" s="68"/>
      <c r="AC170" s="58"/>
      <c r="AD170" s="170">
        <f>72.35+8.61</f>
        <v>80.959999999999994</v>
      </c>
      <c r="AE170" s="89">
        <f t="shared" si="124"/>
        <v>-80.959999999999994</v>
      </c>
      <c r="AF170" s="216">
        <f t="shared" si="125"/>
        <v>0</v>
      </c>
      <c r="AG170" s="147"/>
      <c r="AH170" s="148"/>
      <c r="AI170" s="148"/>
      <c r="AJ170" s="148"/>
      <c r="AK170" s="148"/>
      <c r="AL170" s="148"/>
      <c r="AM170" s="148"/>
      <c r="AN170" s="149"/>
      <c r="AO170" s="150"/>
      <c r="AP170" s="76"/>
      <c r="AQ170" s="76"/>
      <c r="AR170" s="128"/>
      <c r="AS170" s="108">
        <f t="shared" si="126"/>
        <v>1</v>
      </c>
      <c r="AT170" s="249">
        <f t="shared" si="127"/>
        <v>1</v>
      </c>
      <c r="AU170" s="249">
        <f t="shared" si="128"/>
        <v>1.4719999999999999E-2</v>
      </c>
      <c r="AV170" s="249">
        <f t="shared" si="129"/>
        <v>0</v>
      </c>
    </row>
    <row r="171" spans="1:48" outlineLevel="1" x14ac:dyDescent="0.25">
      <c r="A171" s="4" t="s">
        <v>161</v>
      </c>
      <c r="B171" s="75" t="s">
        <v>841</v>
      </c>
      <c r="C171" s="25" t="s">
        <v>839</v>
      </c>
      <c r="D171" s="92">
        <v>1</v>
      </c>
      <c r="E171" s="110">
        <v>5000</v>
      </c>
      <c r="F171" s="93">
        <f>D171*E171</f>
        <v>5000</v>
      </c>
      <c r="G171" s="74">
        <f t="shared" si="133"/>
        <v>0</v>
      </c>
      <c r="H171" s="95">
        <f t="shared" si="112"/>
        <v>5000</v>
      </c>
      <c r="I171" s="112"/>
      <c r="J171" s="57">
        <v>5000</v>
      </c>
      <c r="K171" s="57"/>
      <c r="L171" s="57"/>
      <c r="M171" s="57"/>
      <c r="N171" s="57"/>
      <c r="O171" s="57"/>
      <c r="P171" s="68"/>
      <c r="Q171" s="58"/>
      <c r="R171" s="93">
        <v>5000</v>
      </c>
      <c r="S171" s="74">
        <f t="shared" si="144"/>
        <v>0</v>
      </c>
      <c r="T171" s="95">
        <f t="shared" si="141"/>
        <v>5000</v>
      </c>
      <c r="U171" s="112"/>
      <c r="V171" s="57">
        <v>5000</v>
      </c>
      <c r="W171" s="57"/>
      <c r="X171" s="57"/>
      <c r="Y171" s="57"/>
      <c r="Z171" s="57"/>
      <c r="AA171" s="57"/>
      <c r="AB171" s="68"/>
      <c r="AC171" s="58"/>
      <c r="AD171" s="170">
        <v>1045.1300000000001</v>
      </c>
      <c r="AE171" s="89">
        <f t="shared" si="124"/>
        <v>-1045.1300000000001</v>
      </c>
      <c r="AF171" s="216">
        <f t="shared" si="125"/>
        <v>0</v>
      </c>
      <c r="AG171" s="147"/>
      <c r="AH171" s="148"/>
      <c r="AI171" s="148"/>
      <c r="AJ171" s="148"/>
      <c r="AK171" s="148"/>
      <c r="AL171" s="148"/>
      <c r="AM171" s="148"/>
      <c r="AN171" s="149"/>
      <c r="AO171" s="150"/>
      <c r="AP171" s="76"/>
      <c r="AQ171" s="76"/>
      <c r="AR171" s="128"/>
      <c r="AS171" s="108">
        <f t="shared" si="126"/>
        <v>1</v>
      </c>
      <c r="AT171" s="249">
        <f t="shared" si="127"/>
        <v>1</v>
      </c>
      <c r="AU171" s="249">
        <f t="shared" si="128"/>
        <v>0.20902600000000002</v>
      </c>
      <c r="AV171" s="249">
        <f t="shared" si="129"/>
        <v>0</v>
      </c>
    </row>
    <row r="172" spans="1:48" outlineLevel="1" x14ac:dyDescent="0.25">
      <c r="A172" s="4" t="s">
        <v>162</v>
      </c>
      <c r="B172" s="75" t="s">
        <v>842</v>
      </c>
      <c r="C172" s="25" t="s">
        <v>838</v>
      </c>
      <c r="D172" s="92">
        <v>1</v>
      </c>
      <c r="E172" s="110">
        <v>8000</v>
      </c>
      <c r="F172" s="93">
        <f>D172*E172</f>
        <v>8000</v>
      </c>
      <c r="G172" s="74">
        <f t="shared" si="133"/>
        <v>0</v>
      </c>
      <c r="H172" s="95">
        <f t="shared" si="112"/>
        <v>8000</v>
      </c>
      <c r="I172" s="112"/>
      <c r="J172" s="57">
        <v>8000</v>
      </c>
      <c r="K172" s="57"/>
      <c r="L172" s="57"/>
      <c r="M172" s="57"/>
      <c r="N172" s="57"/>
      <c r="O172" s="57"/>
      <c r="P172" s="68"/>
      <c r="Q172" s="58"/>
      <c r="R172" s="93">
        <v>8000</v>
      </c>
      <c r="S172" s="74">
        <f t="shared" si="144"/>
        <v>0</v>
      </c>
      <c r="T172" s="95">
        <f t="shared" si="141"/>
        <v>8000</v>
      </c>
      <c r="U172" s="112"/>
      <c r="V172" s="57">
        <v>8000</v>
      </c>
      <c r="W172" s="57"/>
      <c r="X172" s="57"/>
      <c r="Y172" s="57"/>
      <c r="Z172" s="57"/>
      <c r="AA172" s="57"/>
      <c r="AB172" s="68"/>
      <c r="AC172" s="58"/>
      <c r="AD172" s="170">
        <f>P172*Q172</f>
        <v>0</v>
      </c>
      <c r="AE172" s="89">
        <f t="shared" si="124"/>
        <v>0</v>
      </c>
      <c r="AF172" s="216">
        <f t="shared" si="125"/>
        <v>0</v>
      </c>
      <c r="AG172" s="147"/>
      <c r="AH172" s="148"/>
      <c r="AI172" s="148"/>
      <c r="AJ172" s="148"/>
      <c r="AK172" s="148"/>
      <c r="AL172" s="148"/>
      <c r="AM172" s="148"/>
      <c r="AN172" s="149"/>
      <c r="AO172" s="150"/>
      <c r="AP172" s="76"/>
      <c r="AQ172" s="76"/>
      <c r="AR172" s="128"/>
      <c r="AS172" s="108">
        <f t="shared" si="126"/>
        <v>1</v>
      </c>
      <c r="AT172" s="249">
        <f t="shared" si="127"/>
        <v>1</v>
      </c>
      <c r="AU172" s="249">
        <f t="shared" si="128"/>
        <v>0</v>
      </c>
      <c r="AV172" s="249">
        <f t="shared" si="129"/>
        <v>0</v>
      </c>
    </row>
    <row r="173" spans="1:48" outlineLevel="1" x14ac:dyDescent="0.25">
      <c r="A173" s="4" t="s">
        <v>163</v>
      </c>
      <c r="B173" s="75" t="s">
        <v>843</v>
      </c>
      <c r="C173" s="25" t="s">
        <v>838</v>
      </c>
      <c r="D173" s="92">
        <v>1</v>
      </c>
      <c r="E173" s="110">
        <v>8000</v>
      </c>
      <c r="F173" s="93">
        <f>D173*E173</f>
        <v>8000</v>
      </c>
      <c r="G173" s="74">
        <f t="shared" si="133"/>
        <v>0</v>
      </c>
      <c r="H173" s="95">
        <f t="shared" si="112"/>
        <v>8000</v>
      </c>
      <c r="I173" s="112"/>
      <c r="J173" s="57">
        <v>8000</v>
      </c>
      <c r="K173" s="57"/>
      <c r="L173" s="57"/>
      <c r="M173" s="57"/>
      <c r="N173" s="57"/>
      <c r="O173" s="57"/>
      <c r="P173" s="68"/>
      <c r="Q173" s="58"/>
      <c r="R173" s="93">
        <v>8000</v>
      </c>
      <c r="S173" s="74">
        <f t="shared" si="144"/>
        <v>0</v>
      </c>
      <c r="T173" s="95">
        <f t="shared" si="141"/>
        <v>8000</v>
      </c>
      <c r="U173" s="112"/>
      <c r="V173" s="57">
        <v>8000</v>
      </c>
      <c r="W173" s="57"/>
      <c r="X173" s="57"/>
      <c r="Y173" s="57"/>
      <c r="Z173" s="57"/>
      <c r="AA173" s="57"/>
      <c r="AB173" s="68"/>
      <c r="AC173" s="58"/>
      <c r="AD173" s="170">
        <f>P173*Q173</f>
        <v>0</v>
      </c>
      <c r="AE173" s="89">
        <f t="shared" si="124"/>
        <v>0</v>
      </c>
      <c r="AF173" s="216">
        <f t="shared" si="125"/>
        <v>0</v>
      </c>
      <c r="AG173" s="147"/>
      <c r="AH173" s="148"/>
      <c r="AI173" s="148"/>
      <c r="AJ173" s="148"/>
      <c r="AK173" s="148"/>
      <c r="AL173" s="148"/>
      <c r="AM173" s="148"/>
      <c r="AN173" s="149"/>
      <c r="AO173" s="150"/>
      <c r="AP173" s="76"/>
      <c r="AQ173" s="76"/>
      <c r="AR173" s="128"/>
      <c r="AS173" s="108">
        <f t="shared" si="126"/>
        <v>1</v>
      </c>
      <c r="AT173" s="249">
        <f t="shared" si="127"/>
        <v>1</v>
      </c>
      <c r="AU173" s="249">
        <f t="shared" si="128"/>
        <v>0</v>
      </c>
      <c r="AV173" s="249">
        <f t="shared" si="129"/>
        <v>0</v>
      </c>
    </row>
    <row r="174" spans="1:48" outlineLevel="1" x14ac:dyDescent="0.25">
      <c r="A174" s="4" t="s">
        <v>164</v>
      </c>
      <c r="B174" s="75" t="s">
        <v>996</v>
      </c>
      <c r="C174" s="25"/>
      <c r="D174" s="92">
        <v>1</v>
      </c>
      <c r="E174" s="110">
        <v>3000</v>
      </c>
      <c r="F174" s="93">
        <f>D174*E174</f>
        <v>3000</v>
      </c>
      <c r="G174" s="74">
        <f t="shared" si="133"/>
        <v>0</v>
      </c>
      <c r="H174" s="95">
        <f t="shared" si="112"/>
        <v>3000</v>
      </c>
      <c r="I174" s="112"/>
      <c r="J174" s="57">
        <v>3000</v>
      </c>
      <c r="K174" s="57"/>
      <c r="L174" s="57"/>
      <c r="M174" s="57"/>
      <c r="N174" s="57"/>
      <c r="O174" s="57"/>
      <c r="P174" s="68"/>
      <c r="Q174" s="58"/>
      <c r="R174" s="93">
        <v>3000</v>
      </c>
      <c r="S174" s="74">
        <f t="shared" si="144"/>
        <v>0</v>
      </c>
      <c r="T174" s="95">
        <f t="shared" si="141"/>
        <v>3000</v>
      </c>
      <c r="U174" s="112"/>
      <c r="V174" s="57">
        <v>3000</v>
      </c>
      <c r="W174" s="57"/>
      <c r="X174" s="57"/>
      <c r="Y174" s="57"/>
      <c r="Z174" s="57"/>
      <c r="AA174" s="57"/>
      <c r="AB174" s="68"/>
      <c r="AC174" s="58"/>
      <c r="AD174" s="170">
        <f>P174*Q174</f>
        <v>0</v>
      </c>
      <c r="AE174" s="89">
        <f t="shared" si="124"/>
        <v>0</v>
      </c>
      <c r="AF174" s="216">
        <f t="shared" si="125"/>
        <v>0</v>
      </c>
      <c r="AG174" s="147"/>
      <c r="AH174" s="148"/>
      <c r="AI174" s="148"/>
      <c r="AJ174" s="148"/>
      <c r="AK174" s="148"/>
      <c r="AL174" s="148"/>
      <c r="AM174" s="148"/>
      <c r="AN174" s="149"/>
      <c r="AO174" s="150"/>
      <c r="AP174" s="76"/>
      <c r="AQ174" s="76"/>
      <c r="AR174" s="128"/>
      <c r="AS174" s="108">
        <f t="shared" si="126"/>
        <v>1</v>
      </c>
      <c r="AT174" s="249">
        <f t="shared" si="127"/>
        <v>1</v>
      </c>
      <c r="AU174" s="249">
        <f t="shared" si="128"/>
        <v>0</v>
      </c>
      <c r="AV174" s="249">
        <f t="shared" si="129"/>
        <v>0</v>
      </c>
    </row>
    <row r="175" spans="1:48" s="280" customFormat="1" ht="15.75" x14ac:dyDescent="0.25">
      <c r="A175" s="270" t="s">
        <v>167</v>
      </c>
      <c r="B175" s="271" t="s">
        <v>313</v>
      </c>
      <c r="C175" s="272"/>
      <c r="D175" s="273"/>
      <c r="E175" s="274"/>
      <c r="F175" s="264">
        <f>SUM(F176:F180)</f>
        <v>53500</v>
      </c>
      <c r="G175" s="265">
        <f t="shared" si="133"/>
        <v>0</v>
      </c>
      <c r="H175" s="275">
        <f t="shared" si="112"/>
        <v>53500</v>
      </c>
      <c r="I175" s="267">
        <f t="shared" ref="I175:Q175" si="160">SUM(I176:I180)</f>
        <v>0</v>
      </c>
      <c r="J175" s="268">
        <f t="shared" si="160"/>
        <v>53500</v>
      </c>
      <c r="K175" s="268">
        <f t="shared" si="160"/>
        <v>0</v>
      </c>
      <c r="L175" s="268">
        <f t="shared" si="160"/>
        <v>0</v>
      </c>
      <c r="M175" s="268">
        <f t="shared" si="160"/>
        <v>0</v>
      </c>
      <c r="N175" s="268">
        <f t="shared" si="160"/>
        <v>0</v>
      </c>
      <c r="O175" s="268">
        <f t="shared" si="160"/>
        <v>0</v>
      </c>
      <c r="P175" s="268">
        <f t="shared" si="160"/>
        <v>0</v>
      </c>
      <c r="Q175" s="269">
        <f t="shared" si="160"/>
        <v>0</v>
      </c>
      <c r="R175" s="264">
        <f>SUM(R176:R181)</f>
        <v>53500</v>
      </c>
      <c r="S175" s="265">
        <f t="shared" si="144"/>
        <v>0</v>
      </c>
      <c r="T175" s="275">
        <f t="shared" si="141"/>
        <v>53500</v>
      </c>
      <c r="U175" s="267">
        <f>SUM(U176:U181)</f>
        <v>0</v>
      </c>
      <c r="V175" s="267">
        <f t="shared" ref="V175:AC175" si="161">SUM(V176:V181)</f>
        <v>53500</v>
      </c>
      <c r="W175" s="267">
        <f t="shared" si="161"/>
        <v>0</v>
      </c>
      <c r="X175" s="267">
        <f t="shared" si="161"/>
        <v>0</v>
      </c>
      <c r="Y175" s="267">
        <f t="shared" si="161"/>
        <v>0</v>
      </c>
      <c r="Z175" s="267">
        <f t="shared" si="161"/>
        <v>0</v>
      </c>
      <c r="AA175" s="267">
        <f t="shared" si="161"/>
        <v>0</v>
      </c>
      <c r="AB175" s="267">
        <f t="shared" si="161"/>
        <v>0</v>
      </c>
      <c r="AC175" s="267">
        <f t="shared" si="161"/>
        <v>0</v>
      </c>
      <c r="AD175" s="264">
        <f>SUM(AD176:AD181)</f>
        <v>10161.01</v>
      </c>
      <c r="AE175" s="265">
        <f t="shared" si="124"/>
        <v>-10161.01</v>
      </c>
      <c r="AF175" s="266">
        <f t="shared" si="125"/>
        <v>0</v>
      </c>
      <c r="AG175" s="267">
        <f>SUM(AG176:AG181)</f>
        <v>0</v>
      </c>
      <c r="AH175" s="267">
        <f t="shared" ref="AH175:AO175" si="162">SUM(AH176:AH181)</f>
        <v>0</v>
      </c>
      <c r="AI175" s="267">
        <f t="shared" si="162"/>
        <v>0</v>
      </c>
      <c r="AJ175" s="267">
        <f t="shared" si="162"/>
        <v>0</v>
      </c>
      <c r="AK175" s="267">
        <f t="shared" si="162"/>
        <v>0</v>
      </c>
      <c r="AL175" s="267">
        <f t="shared" si="162"/>
        <v>0</v>
      </c>
      <c r="AM175" s="267">
        <f t="shared" si="162"/>
        <v>0</v>
      </c>
      <c r="AN175" s="267">
        <f t="shared" si="162"/>
        <v>0</v>
      </c>
      <c r="AO175" s="267">
        <f t="shared" si="162"/>
        <v>0</v>
      </c>
      <c r="AP175" s="276">
        <v>52000</v>
      </c>
      <c r="AQ175" s="276">
        <f>SUM(AQ176:AQ180)</f>
        <v>0</v>
      </c>
      <c r="AR175" s="277">
        <f>AQ175*100/AP175</f>
        <v>0</v>
      </c>
      <c r="AS175" s="278">
        <f t="shared" si="126"/>
        <v>1</v>
      </c>
      <c r="AT175" s="279">
        <f t="shared" si="127"/>
        <v>1</v>
      </c>
      <c r="AU175" s="279">
        <f t="shared" si="128"/>
        <v>0.18992542056074765</v>
      </c>
      <c r="AV175" s="279">
        <f t="shared" si="129"/>
        <v>0</v>
      </c>
    </row>
    <row r="176" spans="1:48" outlineLevel="1" x14ac:dyDescent="0.25">
      <c r="A176" s="4" t="s">
        <v>168</v>
      </c>
      <c r="B176" s="75" t="s">
        <v>844</v>
      </c>
      <c r="C176" s="25"/>
      <c r="D176" s="92">
        <v>1</v>
      </c>
      <c r="E176" s="110">
        <v>15000</v>
      </c>
      <c r="F176" s="93">
        <f>D176*E176</f>
        <v>15000</v>
      </c>
      <c r="G176" s="74">
        <f t="shared" si="133"/>
        <v>0</v>
      </c>
      <c r="H176" s="95">
        <f t="shared" si="112"/>
        <v>15000</v>
      </c>
      <c r="I176" s="112"/>
      <c r="J176" s="57">
        <v>15000</v>
      </c>
      <c r="K176" s="57"/>
      <c r="L176" s="57"/>
      <c r="M176" s="57"/>
      <c r="N176" s="57"/>
      <c r="O176" s="57"/>
      <c r="P176" s="68"/>
      <c r="Q176" s="58"/>
      <c r="R176" s="93">
        <v>15000</v>
      </c>
      <c r="S176" s="74">
        <f t="shared" si="144"/>
        <v>0</v>
      </c>
      <c r="T176" s="95">
        <f t="shared" si="141"/>
        <v>15000</v>
      </c>
      <c r="U176" s="112"/>
      <c r="V176" s="57">
        <v>15000</v>
      </c>
      <c r="W176" s="57"/>
      <c r="X176" s="57"/>
      <c r="Y176" s="57"/>
      <c r="Z176" s="57"/>
      <c r="AA176" s="57"/>
      <c r="AB176" s="68"/>
      <c r="AC176" s="58"/>
      <c r="AD176" s="170">
        <f>P176*Q176</f>
        <v>0</v>
      </c>
      <c r="AE176" s="89">
        <f t="shared" si="124"/>
        <v>0</v>
      </c>
      <c r="AF176" s="216">
        <f t="shared" si="125"/>
        <v>0</v>
      </c>
      <c r="AG176" s="147"/>
      <c r="AH176" s="148"/>
      <c r="AI176" s="148"/>
      <c r="AJ176" s="148"/>
      <c r="AK176" s="148"/>
      <c r="AL176" s="148"/>
      <c r="AM176" s="148"/>
      <c r="AN176" s="149"/>
      <c r="AO176" s="150"/>
      <c r="AP176" s="76"/>
      <c r="AQ176" s="76"/>
      <c r="AR176" s="128"/>
      <c r="AS176" s="108">
        <f t="shared" si="126"/>
        <v>1</v>
      </c>
      <c r="AT176" s="249">
        <f t="shared" si="127"/>
        <v>1</v>
      </c>
      <c r="AU176" s="249">
        <f t="shared" si="128"/>
        <v>0</v>
      </c>
      <c r="AV176" s="249">
        <f t="shared" si="129"/>
        <v>0</v>
      </c>
    </row>
    <row r="177" spans="1:48" outlineLevel="1" x14ac:dyDescent="0.25">
      <c r="A177" s="4" t="s">
        <v>169</v>
      </c>
      <c r="B177" s="75" t="s">
        <v>845</v>
      </c>
      <c r="C177" s="25"/>
      <c r="D177" s="92">
        <v>1</v>
      </c>
      <c r="E177" s="110">
        <v>15000</v>
      </c>
      <c r="F177" s="93">
        <f>D177*E177</f>
        <v>15000</v>
      </c>
      <c r="G177" s="74">
        <f t="shared" si="133"/>
        <v>0</v>
      </c>
      <c r="H177" s="95">
        <f t="shared" si="112"/>
        <v>15000</v>
      </c>
      <c r="I177" s="112"/>
      <c r="J177" s="57">
        <v>15000</v>
      </c>
      <c r="K177" s="57"/>
      <c r="L177" s="57"/>
      <c r="M177" s="57"/>
      <c r="N177" s="57"/>
      <c r="O177" s="57"/>
      <c r="P177" s="68"/>
      <c r="Q177" s="58"/>
      <c r="R177" s="93">
        <v>15000</v>
      </c>
      <c r="S177" s="74">
        <f t="shared" si="144"/>
        <v>0</v>
      </c>
      <c r="T177" s="95">
        <f t="shared" si="141"/>
        <v>15000</v>
      </c>
      <c r="U177" s="112"/>
      <c r="V177" s="57">
        <v>15000</v>
      </c>
      <c r="W177" s="57"/>
      <c r="X177" s="57"/>
      <c r="Y177" s="57"/>
      <c r="Z177" s="57"/>
      <c r="AA177" s="57"/>
      <c r="AB177" s="68"/>
      <c r="AC177" s="58"/>
      <c r="AD177" s="170">
        <f>P177*Q177</f>
        <v>0</v>
      </c>
      <c r="AE177" s="89">
        <f t="shared" si="124"/>
        <v>0</v>
      </c>
      <c r="AF177" s="216">
        <f t="shared" si="125"/>
        <v>0</v>
      </c>
      <c r="AG177" s="147"/>
      <c r="AH177" s="148"/>
      <c r="AI177" s="148"/>
      <c r="AJ177" s="148"/>
      <c r="AK177" s="148"/>
      <c r="AL177" s="148"/>
      <c r="AM177" s="148"/>
      <c r="AN177" s="149"/>
      <c r="AO177" s="150"/>
      <c r="AP177" s="76"/>
      <c r="AQ177" s="76"/>
      <c r="AR177" s="128"/>
      <c r="AS177" s="108">
        <f t="shared" si="126"/>
        <v>1</v>
      </c>
      <c r="AT177" s="249">
        <f t="shared" si="127"/>
        <v>1</v>
      </c>
      <c r="AU177" s="249">
        <f t="shared" si="128"/>
        <v>0</v>
      </c>
      <c r="AV177" s="249">
        <f t="shared" si="129"/>
        <v>0</v>
      </c>
    </row>
    <row r="178" spans="1:48" outlineLevel="1" x14ac:dyDescent="0.25">
      <c r="A178" s="4" t="s">
        <v>170</v>
      </c>
      <c r="B178" s="75" t="s">
        <v>846</v>
      </c>
      <c r="C178" s="25"/>
      <c r="D178" s="92">
        <v>1</v>
      </c>
      <c r="E178" s="110">
        <v>8500</v>
      </c>
      <c r="F178" s="93">
        <f>D178*E178</f>
        <v>8500</v>
      </c>
      <c r="G178" s="74">
        <f t="shared" si="133"/>
        <v>0</v>
      </c>
      <c r="H178" s="95">
        <f t="shared" si="112"/>
        <v>8500</v>
      </c>
      <c r="I178" s="112"/>
      <c r="J178" s="57">
        <v>8500</v>
      </c>
      <c r="K178" s="57"/>
      <c r="L178" s="57"/>
      <c r="M178" s="57"/>
      <c r="N178" s="57"/>
      <c r="O178" s="57"/>
      <c r="P178" s="68"/>
      <c r="Q178" s="58"/>
      <c r="R178" s="93">
        <v>8500</v>
      </c>
      <c r="S178" s="74">
        <f t="shared" si="144"/>
        <v>0</v>
      </c>
      <c r="T178" s="95">
        <f t="shared" si="141"/>
        <v>8500</v>
      </c>
      <c r="U178" s="112"/>
      <c r="V178" s="57">
        <v>8500</v>
      </c>
      <c r="W178" s="57"/>
      <c r="X178" s="57"/>
      <c r="Y178" s="57"/>
      <c r="Z178" s="57"/>
      <c r="AA178" s="57"/>
      <c r="AB178" s="68"/>
      <c r="AC178" s="58"/>
      <c r="AD178" s="242">
        <v>6322.5</v>
      </c>
      <c r="AE178" s="89">
        <f t="shared" si="124"/>
        <v>-6322.5</v>
      </c>
      <c r="AF178" s="216">
        <f t="shared" si="125"/>
        <v>0</v>
      </c>
      <c r="AG178" s="147"/>
      <c r="AH178" s="148"/>
      <c r="AI178" s="148"/>
      <c r="AJ178" s="148"/>
      <c r="AK178" s="148"/>
      <c r="AL178" s="148"/>
      <c r="AM178" s="148"/>
      <c r="AN178" s="149"/>
      <c r="AO178" s="150"/>
      <c r="AP178" s="76"/>
      <c r="AQ178" s="76"/>
      <c r="AR178" s="128"/>
      <c r="AS178" s="108">
        <f t="shared" si="126"/>
        <v>1</v>
      </c>
      <c r="AT178" s="249">
        <f t="shared" si="127"/>
        <v>1</v>
      </c>
      <c r="AU178" s="249">
        <f t="shared" si="128"/>
        <v>0.74382352941176466</v>
      </c>
      <c r="AV178" s="249">
        <f t="shared" si="129"/>
        <v>0</v>
      </c>
    </row>
    <row r="179" spans="1:48" outlineLevel="1" x14ac:dyDescent="0.25">
      <c r="A179" s="4" t="s">
        <v>171</v>
      </c>
      <c r="B179" s="75" t="s">
        <v>1067</v>
      </c>
      <c r="C179" s="25"/>
      <c r="D179" s="92">
        <v>1</v>
      </c>
      <c r="E179" s="110">
        <v>15000</v>
      </c>
      <c r="F179" s="93">
        <f>D179*E179</f>
        <v>15000</v>
      </c>
      <c r="G179" s="74">
        <f t="shared" si="133"/>
        <v>0</v>
      </c>
      <c r="H179" s="95">
        <f t="shared" si="112"/>
        <v>15000</v>
      </c>
      <c r="I179" s="112"/>
      <c r="J179" s="57">
        <v>15000</v>
      </c>
      <c r="K179" s="57"/>
      <c r="L179" s="57"/>
      <c r="M179" s="57"/>
      <c r="N179" s="57"/>
      <c r="O179" s="57"/>
      <c r="P179" s="68"/>
      <c r="Q179" s="58"/>
      <c r="R179" s="93">
        <v>15000</v>
      </c>
      <c r="S179" s="74">
        <f t="shared" si="144"/>
        <v>0</v>
      </c>
      <c r="T179" s="95">
        <f t="shared" si="141"/>
        <v>15000</v>
      </c>
      <c r="U179" s="112"/>
      <c r="V179" s="57">
        <v>15000</v>
      </c>
      <c r="W179" s="57"/>
      <c r="X179" s="57"/>
      <c r="Y179" s="57"/>
      <c r="Z179" s="57"/>
      <c r="AA179" s="57"/>
      <c r="AB179" s="68"/>
      <c r="AC179" s="58"/>
      <c r="AD179" s="170">
        <v>3782.43</v>
      </c>
      <c r="AE179" s="89">
        <f t="shared" si="124"/>
        <v>-3782.43</v>
      </c>
      <c r="AF179" s="216">
        <f t="shared" si="125"/>
        <v>0</v>
      </c>
      <c r="AG179" s="147"/>
      <c r="AH179" s="148"/>
      <c r="AI179" s="148"/>
      <c r="AJ179" s="148"/>
      <c r="AK179" s="148"/>
      <c r="AL179" s="148"/>
      <c r="AM179" s="148"/>
      <c r="AN179" s="149"/>
      <c r="AO179" s="150"/>
      <c r="AP179" s="76"/>
      <c r="AQ179" s="76"/>
      <c r="AR179" s="128"/>
      <c r="AS179" s="108">
        <f t="shared" si="126"/>
        <v>1</v>
      </c>
      <c r="AT179" s="249">
        <f t="shared" si="127"/>
        <v>1</v>
      </c>
      <c r="AU179" s="249">
        <f t="shared" si="128"/>
        <v>0.252162</v>
      </c>
      <c r="AV179" s="249">
        <f t="shared" si="129"/>
        <v>0</v>
      </c>
    </row>
    <row r="180" spans="1:48" outlineLevel="1" x14ac:dyDescent="0.25">
      <c r="A180" s="4" t="s">
        <v>172</v>
      </c>
      <c r="B180" s="75" t="s">
        <v>1066</v>
      </c>
      <c r="C180" s="25"/>
      <c r="D180" s="92"/>
      <c r="E180" s="110"/>
      <c r="F180" s="93"/>
      <c r="G180" s="74">
        <f t="shared" si="133"/>
        <v>0</v>
      </c>
      <c r="H180" s="95">
        <f t="shared" si="112"/>
        <v>0</v>
      </c>
      <c r="I180" s="112"/>
      <c r="J180" s="57"/>
      <c r="K180" s="57"/>
      <c r="L180" s="57"/>
      <c r="M180" s="57"/>
      <c r="N180" s="57"/>
      <c r="O180" s="57"/>
      <c r="P180" s="68"/>
      <c r="Q180" s="58"/>
      <c r="R180" s="93"/>
      <c r="S180" s="74">
        <f t="shared" si="144"/>
        <v>0</v>
      </c>
      <c r="T180" s="95">
        <f t="shared" si="141"/>
        <v>0</v>
      </c>
      <c r="U180" s="112"/>
      <c r="V180" s="57"/>
      <c r="W180" s="57"/>
      <c r="X180" s="57"/>
      <c r="Y180" s="57"/>
      <c r="Z180" s="57"/>
      <c r="AA180" s="57"/>
      <c r="AB180" s="68"/>
      <c r="AC180" s="58"/>
      <c r="AD180" s="170">
        <v>56.08</v>
      </c>
      <c r="AE180" s="89">
        <f t="shared" si="124"/>
        <v>-56.08</v>
      </c>
      <c r="AF180" s="216">
        <f t="shared" si="125"/>
        <v>0</v>
      </c>
      <c r="AG180" s="147"/>
      <c r="AH180" s="148"/>
      <c r="AI180" s="148"/>
      <c r="AJ180" s="148"/>
      <c r="AK180" s="148"/>
      <c r="AL180" s="148"/>
      <c r="AM180" s="148"/>
      <c r="AN180" s="149"/>
      <c r="AO180" s="150"/>
      <c r="AP180" s="76"/>
      <c r="AQ180" s="76"/>
      <c r="AR180" s="128"/>
      <c r="AS180" s="108"/>
      <c r="AT180" s="249"/>
      <c r="AU180" s="249"/>
      <c r="AV180" s="249"/>
    </row>
    <row r="181" spans="1:48" outlineLevel="1" x14ac:dyDescent="0.25">
      <c r="A181" s="4" t="s">
        <v>1068</v>
      </c>
      <c r="B181" s="75" t="s">
        <v>47</v>
      </c>
      <c r="C181" s="25"/>
      <c r="D181" s="92"/>
      <c r="E181" s="110"/>
      <c r="F181" s="93"/>
      <c r="G181" s="74"/>
      <c r="H181" s="95"/>
      <c r="I181" s="112"/>
      <c r="J181" s="57"/>
      <c r="K181" s="57"/>
      <c r="L181" s="57"/>
      <c r="M181" s="57"/>
      <c r="N181" s="57"/>
      <c r="O181" s="57"/>
      <c r="P181" s="68"/>
      <c r="Q181" s="58"/>
      <c r="R181" s="93"/>
      <c r="S181" s="74">
        <f t="shared" si="144"/>
        <v>0</v>
      </c>
      <c r="T181" s="95">
        <f t="shared" si="141"/>
        <v>0</v>
      </c>
      <c r="U181" s="112"/>
      <c r="V181" s="57"/>
      <c r="W181" s="57"/>
      <c r="X181" s="57"/>
      <c r="Y181" s="57"/>
      <c r="Z181" s="57"/>
      <c r="AA181" s="57"/>
      <c r="AB181" s="68"/>
      <c r="AC181" s="58"/>
      <c r="AD181" s="170"/>
      <c r="AE181" s="89"/>
      <c r="AF181" s="216"/>
      <c r="AG181" s="147"/>
      <c r="AH181" s="148"/>
      <c r="AI181" s="148"/>
      <c r="AJ181" s="148"/>
      <c r="AK181" s="148"/>
      <c r="AL181" s="148"/>
      <c r="AM181" s="148"/>
      <c r="AN181" s="149"/>
      <c r="AO181" s="150"/>
      <c r="AP181" s="176"/>
      <c r="AQ181" s="176"/>
      <c r="AR181" s="177"/>
      <c r="AS181" s="108"/>
      <c r="AT181" s="249"/>
      <c r="AU181" s="249"/>
      <c r="AV181" s="249"/>
    </row>
    <row r="182" spans="1:48" s="280" customFormat="1" ht="15.75" x14ac:dyDescent="0.25">
      <c r="A182" s="270" t="s">
        <v>173</v>
      </c>
      <c r="B182" s="271" t="s">
        <v>316</v>
      </c>
      <c r="C182" s="272"/>
      <c r="D182" s="273"/>
      <c r="E182" s="274"/>
      <c r="F182" s="264">
        <f>SUM(F183:F185)</f>
        <v>6300</v>
      </c>
      <c r="G182" s="265">
        <f t="shared" si="133"/>
        <v>0</v>
      </c>
      <c r="H182" s="275">
        <f t="shared" si="112"/>
        <v>6300</v>
      </c>
      <c r="I182" s="267">
        <f t="shared" ref="I182:Q182" si="163">SUM(I183:I185)</f>
        <v>0</v>
      </c>
      <c r="J182" s="268">
        <f t="shared" si="163"/>
        <v>6300</v>
      </c>
      <c r="K182" s="268">
        <f t="shared" si="163"/>
        <v>0</v>
      </c>
      <c r="L182" s="268">
        <f t="shared" si="163"/>
        <v>0</v>
      </c>
      <c r="M182" s="268">
        <f t="shared" si="163"/>
        <v>0</v>
      </c>
      <c r="N182" s="268">
        <f t="shared" si="163"/>
        <v>0</v>
      </c>
      <c r="O182" s="268">
        <f t="shared" si="163"/>
        <v>0</v>
      </c>
      <c r="P182" s="268">
        <f t="shared" si="163"/>
        <v>0</v>
      </c>
      <c r="Q182" s="269">
        <f t="shared" si="163"/>
        <v>0</v>
      </c>
      <c r="R182" s="264">
        <f>SUM(R183:R185)</f>
        <v>6300</v>
      </c>
      <c r="S182" s="265">
        <f t="shared" si="144"/>
        <v>0</v>
      </c>
      <c r="T182" s="275">
        <f t="shared" si="141"/>
        <v>6300</v>
      </c>
      <c r="U182" s="267">
        <f t="shared" ref="U182:AC182" si="164">SUM(U183:U185)</f>
        <v>0</v>
      </c>
      <c r="V182" s="268">
        <f t="shared" si="164"/>
        <v>6300</v>
      </c>
      <c r="W182" s="268">
        <f t="shared" si="164"/>
        <v>0</v>
      </c>
      <c r="X182" s="268">
        <f t="shared" si="164"/>
        <v>0</v>
      </c>
      <c r="Y182" s="268">
        <f t="shared" si="164"/>
        <v>0</v>
      </c>
      <c r="Z182" s="268">
        <f t="shared" si="164"/>
        <v>0</v>
      </c>
      <c r="AA182" s="268">
        <f t="shared" si="164"/>
        <v>0</v>
      </c>
      <c r="AB182" s="268">
        <f t="shared" si="164"/>
        <v>0</v>
      </c>
      <c r="AC182" s="269">
        <f t="shared" si="164"/>
        <v>0</v>
      </c>
      <c r="AD182" s="264">
        <f>SUM(AD183:AD185)</f>
        <v>0</v>
      </c>
      <c r="AE182" s="265">
        <f t="shared" si="124"/>
        <v>0</v>
      </c>
      <c r="AF182" s="266">
        <f t="shared" si="125"/>
        <v>0</v>
      </c>
      <c r="AG182" s="267">
        <f t="shared" ref="AG182:AO182" si="165">SUM(AG183:AG185)</f>
        <v>0</v>
      </c>
      <c r="AH182" s="268">
        <f t="shared" si="165"/>
        <v>0</v>
      </c>
      <c r="AI182" s="268">
        <f t="shared" si="165"/>
        <v>0</v>
      </c>
      <c r="AJ182" s="268">
        <f t="shared" si="165"/>
        <v>0</v>
      </c>
      <c r="AK182" s="268">
        <f t="shared" si="165"/>
        <v>0</v>
      </c>
      <c r="AL182" s="268">
        <f t="shared" si="165"/>
        <v>0</v>
      </c>
      <c r="AM182" s="268">
        <f t="shared" si="165"/>
        <v>0</v>
      </c>
      <c r="AN182" s="268">
        <f t="shared" si="165"/>
        <v>0</v>
      </c>
      <c r="AO182" s="269">
        <f t="shared" si="165"/>
        <v>0</v>
      </c>
      <c r="AP182" s="276">
        <v>6000</v>
      </c>
      <c r="AQ182" s="276">
        <f>SUM(AQ183:AQ185)</f>
        <v>0</v>
      </c>
      <c r="AR182" s="277">
        <f>AQ182*100/AP182</f>
        <v>0</v>
      </c>
      <c r="AS182" s="278">
        <f t="shared" si="126"/>
        <v>1</v>
      </c>
      <c r="AT182" s="279">
        <f t="shared" si="127"/>
        <v>1</v>
      </c>
      <c r="AU182" s="279">
        <f t="shared" si="128"/>
        <v>0</v>
      </c>
      <c r="AV182" s="279">
        <f t="shared" si="129"/>
        <v>0</v>
      </c>
    </row>
    <row r="183" spans="1:48" outlineLevel="1" x14ac:dyDescent="0.25">
      <c r="A183" s="4" t="s">
        <v>174</v>
      </c>
      <c r="B183" s="75" t="s">
        <v>850</v>
      </c>
      <c r="C183" s="25" t="s">
        <v>847</v>
      </c>
      <c r="D183" s="92">
        <v>1</v>
      </c>
      <c r="E183" s="110">
        <v>2500</v>
      </c>
      <c r="F183" s="93">
        <f>D183*E183</f>
        <v>2500</v>
      </c>
      <c r="G183" s="74">
        <f t="shared" si="133"/>
        <v>0</v>
      </c>
      <c r="H183" s="95">
        <f t="shared" si="112"/>
        <v>2500</v>
      </c>
      <c r="I183" s="112"/>
      <c r="J183" s="57">
        <v>2500</v>
      </c>
      <c r="K183" s="57"/>
      <c r="L183" s="57"/>
      <c r="M183" s="57"/>
      <c r="N183" s="57"/>
      <c r="O183" s="57"/>
      <c r="P183" s="68"/>
      <c r="Q183" s="58"/>
      <c r="R183" s="93">
        <v>2500</v>
      </c>
      <c r="S183" s="74">
        <f t="shared" si="144"/>
        <v>0</v>
      </c>
      <c r="T183" s="95">
        <f t="shared" si="141"/>
        <v>2500</v>
      </c>
      <c r="U183" s="112"/>
      <c r="V183" s="57">
        <v>2500</v>
      </c>
      <c r="W183" s="57"/>
      <c r="X183" s="57"/>
      <c r="Y183" s="57"/>
      <c r="Z183" s="57"/>
      <c r="AA183" s="57"/>
      <c r="AB183" s="68"/>
      <c r="AC183" s="58"/>
      <c r="AD183" s="170"/>
      <c r="AE183" s="89">
        <f t="shared" si="124"/>
        <v>0</v>
      </c>
      <c r="AF183" s="216">
        <f t="shared" si="125"/>
        <v>0</v>
      </c>
      <c r="AG183" s="147"/>
      <c r="AH183" s="148"/>
      <c r="AI183" s="148"/>
      <c r="AJ183" s="148"/>
      <c r="AK183" s="148"/>
      <c r="AL183" s="148"/>
      <c r="AM183" s="148"/>
      <c r="AN183" s="149"/>
      <c r="AO183" s="150"/>
      <c r="AP183" s="76"/>
      <c r="AQ183" s="76"/>
      <c r="AR183" s="128"/>
      <c r="AS183" s="108">
        <f t="shared" si="126"/>
        <v>1</v>
      </c>
      <c r="AT183" s="249">
        <f t="shared" si="127"/>
        <v>1</v>
      </c>
      <c r="AU183" s="249">
        <f t="shared" si="128"/>
        <v>0</v>
      </c>
      <c r="AV183" s="249">
        <f t="shared" si="129"/>
        <v>0</v>
      </c>
    </row>
    <row r="184" spans="1:48" outlineLevel="1" x14ac:dyDescent="0.25">
      <c r="A184" s="4" t="s">
        <v>175</v>
      </c>
      <c r="B184" s="75" t="s">
        <v>851</v>
      </c>
      <c r="C184" s="25" t="s">
        <v>848</v>
      </c>
      <c r="D184" s="92">
        <v>1</v>
      </c>
      <c r="E184" s="110">
        <v>2300</v>
      </c>
      <c r="F184" s="93">
        <f>D184*E184</f>
        <v>2300</v>
      </c>
      <c r="G184" s="74">
        <f t="shared" si="133"/>
        <v>0</v>
      </c>
      <c r="H184" s="95">
        <f t="shared" si="112"/>
        <v>2300</v>
      </c>
      <c r="I184" s="112"/>
      <c r="J184" s="57">
        <v>2300</v>
      </c>
      <c r="K184" s="57"/>
      <c r="L184" s="57"/>
      <c r="M184" s="57"/>
      <c r="N184" s="57"/>
      <c r="O184" s="57"/>
      <c r="P184" s="68"/>
      <c r="Q184" s="58"/>
      <c r="R184" s="93">
        <v>2300</v>
      </c>
      <c r="S184" s="74">
        <f t="shared" si="144"/>
        <v>0</v>
      </c>
      <c r="T184" s="95">
        <f t="shared" si="141"/>
        <v>2300</v>
      </c>
      <c r="U184" s="112"/>
      <c r="V184" s="57">
        <v>2300</v>
      </c>
      <c r="W184" s="57"/>
      <c r="X184" s="57"/>
      <c r="Y184" s="57"/>
      <c r="Z184" s="57"/>
      <c r="AA184" s="57"/>
      <c r="AB184" s="68"/>
      <c r="AC184" s="58"/>
      <c r="AD184" s="170">
        <f>P184*Q184</f>
        <v>0</v>
      </c>
      <c r="AE184" s="89">
        <f t="shared" si="124"/>
        <v>0</v>
      </c>
      <c r="AF184" s="216">
        <f t="shared" si="125"/>
        <v>0</v>
      </c>
      <c r="AG184" s="147"/>
      <c r="AH184" s="148"/>
      <c r="AI184" s="148"/>
      <c r="AJ184" s="148"/>
      <c r="AK184" s="148"/>
      <c r="AL184" s="148"/>
      <c r="AM184" s="148"/>
      <c r="AN184" s="149"/>
      <c r="AO184" s="150"/>
      <c r="AP184" s="76"/>
      <c r="AQ184" s="76"/>
      <c r="AR184" s="128"/>
      <c r="AS184" s="108">
        <f t="shared" si="126"/>
        <v>1</v>
      </c>
      <c r="AT184" s="249">
        <f t="shared" si="127"/>
        <v>1</v>
      </c>
      <c r="AU184" s="249">
        <f t="shared" si="128"/>
        <v>0</v>
      </c>
      <c r="AV184" s="249">
        <f t="shared" si="129"/>
        <v>0</v>
      </c>
    </row>
    <row r="185" spans="1:48" outlineLevel="1" x14ac:dyDescent="0.25">
      <c r="A185" s="4" t="s">
        <v>176</v>
      </c>
      <c r="B185" s="75" t="s">
        <v>995</v>
      </c>
      <c r="C185" s="25" t="s">
        <v>849</v>
      </c>
      <c r="D185" s="92">
        <v>1</v>
      </c>
      <c r="E185" s="110">
        <v>1500</v>
      </c>
      <c r="F185" s="93">
        <f>D185*E185</f>
        <v>1500</v>
      </c>
      <c r="G185" s="74">
        <f t="shared" si="133"/>
        <v>0</v>
      </c>
      <c r="H185" s="95">
        <f t="shared" si="112"/>
        <v>1500</v>
      </c>
      <c r="I185" s="112"/>
      <c r="J185" s="57">
        <v>1500</v>
      </c>
      <c r="K185" s="57"/>
      <c r="L185" s="57"/>
      <c r="M185" s="57"/>
      <c r="N185" s="57"/>
      <c r="O185" s="57"/>
      <c r="P185" s="68"/>
      <c r="Q185" s="58"/>
      <c r="R185" s="93">
        <v>1500</v>
      </c>
      <c r="S185" s="74">
        <f t="shared" si="144"/>
        <v>0</v>
      </c>
      <c r="T185" s="95">
        <f t="shared" si="141"/>
        <v>1500</v>
      </c>
      <c r="U185" s="112"/>
      <c r="V185" s="57">
        <v>1500</v>
      </c>
      <c r="W185" s="57"/>
      <c r="X185" s="57"/>
      <c r="Y185" s="57"/>
      <c r="Z185" s="57"/>
      <c r="AA185" s="57"/>
      <c r="AB185" s="68"/>
      <c r="AC185" s="58"/>
      <c r="AD185" s="170">
        <f>P185*Q185</f>
        <v>0</v>
      </c>
      <c r="AE185" s="89">
        <f t="shared" si="124"/>
        <v>0</v>
      </c>
      <c r="AF185" s="216">
        <f t="shared" si="125"/>
        <v>0</v>
      </c>
      <c r="AG185" s="147"/>
      <c r="AH185" s="148"/>
      <c r="AI185" s="148"/>
      <c r="AJ185" s="148"/>
      <c r="AK185" s="148"/>
      <c r="AL185" s="148"/>
      <c r="AM185" s="148"/>
      <c r="AN185" s="149"/>
      <c r="AO185" s="150"/>
      <c r="AP185" s="76"/>
      <c r="AQ185" s="76"/>
      <c r="AR185" s="128"/>
      <c r="AS185" s="108">
        <f t="shared" si="126"/>
        <v>1</v>
      </c>
      <c r="AT185" s="249">
        <f t="shared" si="127"/>
        <v>1</v>
      </c>
      <c r="AU185" s="249">
        <f t="shared" si="128"/>
        <v>0</v>
      </c>
      <c r="AV185" s="249">
        <f t="shared" si="129"/>
        <v>0</v>
      </c>
    </row>
    <row r="186" spans="1:48" s="280" customFormat="1" ht="15.75" x14ac:dyDescent="0.25">
      <c r="A186" s="270" t="s">
        <v>178</v>
      </c>
      <c r="B186" s="271" t="s">
        <v>314</v>
      </c>
      <c r="C186" s="272"/>
      <c r="D186" s="273"/>
      <c r="E186" s="274"/>
      <c r="F186" s="264">
        <f>SUM(F187:F188)</f>
        <v>8800</v>
      </c>
      <c r="G186" s="265">
        <f t="shared" si="133"/>
        <v>0</v>
      </c>
      <c r="H186" s="275">
        <f t="shared" si="112"/>
        <v>8800</v>
      </c>
      <c r="I186" s="267">
        <f t="shared" ref="I186:Q186" si="166">SUM(I187:I188)</f>
        <v>0</v>
      </c>
      <c r="J186" s="268">
        <f t="shared" si="166"/>
        <v>8800</v>
      </c>
      <c r="K186" s="268">
        <f t="shared" si="166"/>
        <v>0</v>
      </c>
      <c r="L186" s="268">
        <f t="shared" si="166"/>
        <v>0</v>
      </c>
      <c r="M186" s="268">
        <f t="shared" si="166"/>
        <v>0</v>
      </c>
      <c r="N186" s="268">
        <f t="shared" si="166"/>
        <v>0</v>
      </c>
      <c r="O186" s="268">
        <f t="shared" si="166"/>
        <v>0</v>
      </c>
      <c r="P186" s="268">
        <f t="shared" si="166"/>
        <v>0</v>
      </c>
      <c r="Q186" s="269">
        <f t="shared" si="166"/>
        <v>0</v>
      </c>
      <c r="R186" s="264">
        <f>SUM(R187:R188)</f>
        <v>8800</v>
      </c>
      <c r="S186" s="265">
        <f t="shared" si="144"/>
        <v>0</v>
      </c>
      <c r="T186" s="275">
        <f t="shared" si="141"/>
        <v>8800</v>
      </c>
      <c r="U186" s="267">
        <f t="shared" ref="U186:AC186" si="167">SUM(U187:U188)</f>
        <v>0</v>
      </c>
      <c r="V186" s="268">
        <f t="shared" si="167"/>
        <v>8800</v>
      </c>
      <c r="W186" s="268">
        <f t="shared" si="167"/>
        <v>0</v>
      </c>
      <c r="X186" s="268">
        <f t="shared" si="167"/>
        <v>0</v>
      </c>
      <c r="Y186" s="268">
        <f t="shared" si="167"/>
        <v>0</v>
      </c>
      <c r="Z186" s="268">
        <f t="shared" si="167"/>
        <v>0</v>
      </c>
      <c r="AA186" s="268">
        <f t="shared" si="167"/>
        <v>0</v>
      </c>
      <c r="AB186" s="268">
        <f t="shared" si="167"/>
        <v>0</v>
      </c>
      <c r="AC186" s="269">
        <f t="shared" si="167"/>
        <v>0</v>
      </c>
      <c r="AD186" s="264">
        <f>SUM(AD187:AD188)</f>
        <v>0</v>
      </c>
      <c r="AE186" s="265">
        <f t="shared" si="124"/>
        <v>0</v>
      </c>
      <c r="AF186" s="266">
        <f t="shared" si="125"/>
        <v>0</v>
      </c>
      <c r="AG186" s="267">
        <f t="shared" ref="AG186:AO186" si="168">SUM(AG187:AG188)</f>
        <v>0</v>
      </c>
      <c r="AH186" s="268">
        <f t="shared" si="168"/>
        <v>0</v>
      </c>
      <c r="AI186" s="268">
        <f t="shared" si="168"/>
        <v>0</v>
      </c>
      <c r="AJ186" s="268">
        <f t="shared" si="168"/>
        <v>0</v>
      </c>
      <c r="AK186" s="268">
        <f t="shared" si="168"/>
        <v>0</v>
      </c>
      <c r="AL186" s="268">
        <f t="shared" si="168"/>
        <v>0</v>
      </c>
      <c r="AM186" s="268">
        <f t="shared" si="168"/>
        <v>0</v>
      </c>
      <c r="AN186" s="268">
        <f t="shared" si="168"/>
        <v>0</v>
      </c>
      <c r="AO186" s="269">
        <f t="shared" si="168"/>
        <v>0</v>
      </c>
      <c r="AP186" s="276">
        <v>8000</v>
      </c>
      <c r="AQ186" s="276">
        <f>SUM(AQ187:AQ188)</f>
        <v>0</v>
      </c>
      <c r="AR186" s="277">
        <f>AQ186*100/AP186</f>
        <v>0</v>
      </c>
      <c r="AS186" s="278">
        <f t="shared" si="126"/>
        <v>1</v>
      </c>
      <c r="AT186" s="279">
        <f t="shared" si="127"/>
        <v>1</v>
      </c>
      <c r="AU186" s="279">
        <f t="shared" si="128"/>
        <v>0</v>
      </c>
      <c r="AV186" s="279">
        <f t="shared" si="129"/>
        <v>0</v>
      </c>
    </row>
    <row r="187" spans="1:48" outlineLevel="1" x14ac:dyDescent="0.25">
      <c r="A187" s="4" t="s">
        <v>180</v>
      </c>
      <c r="B187" s="75" t="s">
        <v>853</v>
      </c>
      <c r="C187" s="25" t="s">
        <v>852</v>
      </c>
      <c r="D187" s="92">
        <v>1</v>
      </c>
      <c r="E187" s="110">
        <v>8800</v>
      </c>
      <c r="F187" s="93">
        <f>D187*E187</f>
        <v>8800</v>
      </c>
      <c r="G187" s="74">
        <f t="shared" si="133"/>
        <v>0</v>
      </c>
      <c r="H187" s="95">
        <f t="shared" si="112"/>
        <v>8800</v>
      </c>
      <c r="I187" s="112"/>
      <c r="J187" s="57">
        <v>8800</v>
      </c>
      <c r="K187" s="57"/>
      <c r="L187" s="57"/>
      <c r="M187" s="57"/>
      <c r="N187" s="57"/>
      <c r="O187" s="57"/>
      <c r="P187" s="68"/>
      <c r="Q187" s="58"/>
      <c r="R187" s="93">
        <v>8800</v>
      </c>
      <c r="S187" s="74">
        <f t="shared" si="144"/>
        <v>0</v>
      </c>
      <c r="T187" s="95">
        <f t="shared" si="141"/>
        <v>8800</v>
      </c>
      <c r="U187" s="112"/>
      <c r="V187" s="57">
        <v>8800</v>
      </c>
      <c r="W187" s="57"/>
      <c r="X187" s="57"/>
      <c r="Y187" s="57"/>
      <c r="Z187" s="57"/>
      <c r="AA187" s="57"/>
      <c r="AB187" s="68"/>
      <c r="AC187" s="58"/>
      <c r="AD187" s="170">
        <f>P187*Q187</f>
        <v>0</v>
      </c>
      <c r="AE187" s="89">
        <f t="shared" si="124"/>
        <v>0</v>
      </c>
      <c r="AF187" s="216">
        <f t="shared" si="125"/>
        <v>0</v>
      </c>
      <c r="AG187" s="147"/>
      <c r="AH187" s="148"/>
      <c r="AI187" s="148"/>
      <c r="AJ187" s="148"/>
      <c r="AK187" s="148"/>
      <c r="AL187" s="148"/>
      <c r="AM187" s="148"/>
      <c r="AN187" s="149"/>
      <c r="AO187" s="150"/>
      <c r="AP187" s="76"/>
      <c r="AQ187" s="76"/>
      <c r="AR187" s="128"/>
      <c r="AS187" s="108">
        <f t="shared" si="126"/>
        <v>1</v>
      </c>
      <c r="AT187" s="249">
        <f t="shared" si="127"/>
        <v>1</v>
      </c>
      <c r="AU187" s="249">
        <f t="shared" si="128"/>
        <v>0</v>
      </c>
      <c r="AV187" s="249">
        <f t="shared" si="129"/>
        <v>0</v>
      </c>
    </row>
    <row r="188" spans="1:48" outlineLevel="1" x14ac:dyDescent="0.25">
      <c r="A188" s="4" t="s">
        <v>1069</v>
      </c>
      <c r="B188" s="75" t="s">
        <v>47</v>
      </c>
      <c r="C188" s="25"/>
      <c r="D188" s="92"/>
      <c r="E188" s="110"/>
      <c r="F188" s="93">
        <f>D188*E188</f>
        <v>0</v>
      </c>
      <c r="G188" s="74">
        <f t="shared" si="133"/>
        <v>0</v>
      </c>
      <c r="H188" s="95">
        <f t="shared" si="112"/>
        <v>0</v>
      </c>
      <c r="I188" s="112"/>
      <c r="J188" s="57"/>
      <c r="K188" s="57"/>
      <c r="L188" s="57"/>
      <c r="M188" s="57"/>
      <c r="N188" s="57"/>
      <c r="O188" s="57"/>
      <c r="P188" s="68"/>
      <c r="Q188" s="58"/>
      <c r="R188" s="93">
        <f>P188*Q188</f>
        <v>0</v>
      </c>
      <c r="S188" s="74">
        <f t="shared" si="144"/>
        <v>0</v>
      </c>
      <c r="T188" s="95">
        <f t="shared" si="141"/>
        <v>0</v>
      </c>
      <c r="U188" s="112"/>
      <c r="V188" s="57"/>
      <c r="W188" s="57"/>
      <c r="X188" s="57"/>
      <c r="Y188" s="57"/>
      <c r="Z188" s="57"/>
      <c r="AA188" s="57"/>
      <c r="AB188" s="68"/>
      <c r="AC188" s="58"/>
      <c r="AD188" s="170">
        <f>P188*Q188</f>
        <v>0</v>
      </c>
      <c r="AE188" s="89">
        <f t="shared" si="124"/>
        <v>0</v>
      </c>
      <c r="AF188" s="216">
        <f t="shared" si="125"/>
        <v>0</v>
      </c>
      <c r="AG188" s="147"/>
      <c r="AH188" s="148"/>
      <c r="AI188" s="148"/>
      <c r="AJ188" s="148"/>
      <c r="AK188" s="148"/>
      <c r="AL188" s="148"/>
      <c r="AM188" s="148"/>
      <c r="AN188" s="149"/>
      <c r="AO188" s="150"/>
      <c r="AP188" s="76"/>
      <c r="AQ188" s="76"/>
      <c r="AR188" s="128"/>
      <c r="AS188" s="108"/>
      <c r="AT188" s="249"/>
      <c r="AU188" s="249"/>
      <c r="AV188" s="249"/>
    </row>
    <row r="189" spans="1:48" s="280" customFormat="1" ht="15.75" x14ac:dyDescent="0.25">
      <c r="A189" s="270" t="s">
        <v>182</v>
      </c>
      <c r="B189" s="271" t="s">
        <v>315</v>
      </c>
      <c r="C189" s="272"/>
      <c r="D189" s="273"/>
      <c r="E189" s="274"/>
      <c r="F189" s="264">
        <f>SUM(F190:F191)</f>
        <v>10000</v>
      </c>
      <c r="G189" s="265">
        <f t="shared" si="133"/>
        <v>0</v>
      </c>
      <c r="H189" s="275">
        <f t="shared" si="112"/>
        <v>10000</v>
      </c>
      <c r="I189" s="267">
        <f t="shared" ref="I189:Q189" si="169">SUM(I190:I191)</f>
        <v>0</v>
      </c>
      <c r="J189" s="268">
        <f t="shared" si="169"/>
        <v>5160</v>
      </c>
      <c r="K189" s="268">
        <f t="shared" si="169"/>
        <v>4840</v>
      </c>
      <c r="L189" s="268">
        <f t="shared" si="169"/>
        <v>0</v>
      </c>
      <c r="M189" s="268">
        <f t="shared" si="169"/>
        <v>0</v>
      </c>
      <c r="N189" s="268">
        <f t="shared" si="169"/>
        <v>0</v>
      </c>
      <c r="O189" s="268">
        <f t="shared" si="169"/>
        <v>0</v>
      </c>
      <c r="P189" s="268">
        <f t="shared" si="169"/>
        <v>0</v>
      </c>
      <c r="Q189" s="269">
        <f t="shared" si="169"/>
        <v>0</v>
      </c>
      <c r="R189" s="264">
        <f>SUM(R190:R192)</f>
        <v>10000</v>
      </c>
      <c r="S189" s="265">
        <f t="shared" si="144"/>
        <v>-3451</v>
      </c>
      <c r="T189" s="275">
        <f t="shared" si="141"/>
        <v>6549</v>
      </c>
      <c r="U189" s="267">
        <f>SUM(U190:U192)</f>
        <v>0</v>
      </c>
      <c r="V189" s="267">
        <f t="shared" ref="V189:AC189" si="170">SUM(V190:V192)</f>
        <v>5160</v>
      </c>
      <c r="W189" s="267">
        <f t="shared" si="170"/>
        <v>1389</v>
      </c>
      <c r="X189" s="267">
        <f t="shared" si="170"/>
        <v>0</v>
      </c>
      <c r="Y189" s="267">
        <f t="shared" si="170"/>
        <v>0</v>
      </c>
      <c r="Z189" s="267">
        <f t="shared" si="170"/>
        <v>0</v>
      </c>
      <c r="AA189" s="267">
        <f t="shared" si="170"/>
        <v>0</v>
      </c>
      <c r="AB189" s="267">
        <f t="shared" si="170"/>
        <v>0</v>
      </c>
      <c r="AC189" s="267">
        <f t="shared" si="170"/>
        <v>0</v>
      </c>
      <c r="AD189" s="264">
        <f>SUM(AD190:AD192)</f>
        <v>4112</v>
      </c>
      <c r="AE189" s="265">
        <f t="shared" si="124"/>
        <v>-4112</v>
      </c>
      <c r="AF189" s="266">
        <f t="shared" si="125"/>
        <v>0</v>
      </c>
      <c r="AG189" s="267">
        <f t="shared" ref="AG189:AO189" si="171">SUM(AG190:AG191)</f>
        <v>0</v>
      </c>
      <c r="AH189" s="268">
        <f t="shared" si="171"/>
        <v>0</v>
      </c>
      <c r="AI189" s="268">
        <f t="shared" si="171"/>
        <v>0</v>
      </c>
      <c r="AJ189" s="268">
        <f t="shared" si="171"/>
        <v>0</v>
      </c>
      <c r="AK189" s="268">
        <f t="shared" si="171"/>
        <v>0</v>
      </c>
      <c r="AL189" s="268">
        <f t="shared" si="171"/>
        <v>0</v>
      </c>
      <c r="AM189" s="268">
        <f t="shared" si="171"/>
        <v>0</v>
      </c>
      <c r="AN189" s="268">
        <f t="shared" si="171"/>
        <v>0</v>
      </c>
      <c r="AO189" s="269">
        <f t="shared" si="171"/>
        <v>0</v>
      </c>
      <c r="AP189" s="276"/>
      <c r="AQ189" s="276">
        <f>SUM(AQ190:AQ191)</f>
        <v>0</v>
      </c>
      <c r="AR189" s="277"/>
      <c r="AS189" s="278">
        <f t="shared" si="126"/>
        <v>1</v>
      </c>
      <c r="AT189" s="279">
        <f t="shared" si="127"/>
        <v>0.65490000000000004</v>
      </c>
      <c r="AU189" s="279">
        <f t="shared" si="128"/>
        <v>0.41120000000000001</v>
      </c>
      <c r="AV189" s="279">
        <f t="shared" si="129"/>
        <v>0</v>
      </c>
    </row>
    <row r="190" spans="1:48" outlineLevel="1" x14ac:dyDescent="0.25">
      <c r="A190" s="4" t="s">
        <v>184</v>
      </c>
      <c r="B190" s="75" t="s">
        <v>854</v>
      </c>
      <c r="C190" s="25"/>
      <c r="D190" s="92">
        <v>1</v>
      </c>
      <c r="E190" s="110">
        <v>10000</v>
      </c>
      <c r="F190" s="93">
        <f>D190*E190</f>
        <v>10000</v>
      </c>
      <c r="G190" s="74">
        <f t="shared" si="133"/>
        <v>0</v>
      </c>
      <c r="H190" s="95">
        <f t="shared" ref="H190:H260" si="172">SUM(I190:Q190)</f>
        <v>10000</v>
      </c>
      <c r="I190" s="112"/>
      <c r="J190" s="57">
        <f>5667-507</f>
        <v>5160</v>
      </c>
      <c r="K190" s="57">
        <v>4840</v>
      </c>
      <c r="L190" s="57"/>
      <c r="M190" s="57"/>
      <c r="N190" s="57"/>
      <c r="O190" s="57"/>
      <c r="P190" s="68"/>
      <c r="Q190" s="58"/>
      <c r="R190" s="93">
        <v>10000</v>
      </c>
      <c r="S190" s="74">
        <f t="shared" si="144"/>
        <v>-3451</v>
      </c>
      <c r="T190" s="95">
        <f t="shared" si="141"/>
        <v>6549</v>
      </c>
      <c r="U190" s="112"/>
      <c r="V190" s="57">
        <f>5667-507</f>
        <v>5160</v>
      </c>
      <c r="W190" s="57">
        <v>1389</v>
      </c>
      <c r="X190" s="57"/>
      <c r="Y190" s="57"/>
      <c r="Z190" s="57"/>
      <c r="AA190" s="57"/>
      <c r="AB190" s="68"/>
      <c r="AC190" s="58"/>
      <c r="AD190" s="170">
        <f>P190*Q190</f>
        <v>0</v>
      </c>
      <c r="AE190" s="89">
        <f t="shared" si="124"/>
        <v>0</v>
      </c>
      <c r="AF190" s="216">
        <f t="shared" si="125"/>
        <v>0</v>
      </c>
      <c r="AG190" s="147"/>
      <c r="AH190" s="148"/>
      <c r="AI190" s="148"/>
      <c r="AJ190" s="148"/>
      <c r="AK190" s="148"/>
      <c r="AL190" s="148"/>
      <c r="AM190" s="148"/>
      <c r="AN190" s="149"/>
      <c r="AO190" s="150"/>
      <c r="AP190" s="76"/>
      <c r="AQ190" s="76"/>
      <c r="AR190" s="128"/>
      <c r="AS190" s="108">
        <f t="shared" si="126"/>
        <v>1</v>
      </c>
      <c r="AT190" s="249">
        <f t="shared" si="127"/>
        <v>0.65490000000000004</v>
      </c>
      <c r="AU190" s="249">
        <f t="shared" si="128"/>
        <v>0</v>
      </c>
      <c r="AV190" s="249">
        <f t="shared" si="129"/>
        <v>0</v>
      </c>
    </row>
    <row r="191" spans="1:48" outlineLevel="1" x14ac:dyDescent="0.25">
      <c r="A191" s="4" t="s">
        <v>185</v>
      </c>
      <c r="B191" s="75" t="s">
        <v>1070</v>
      </c>
      <c r="C191" s="25"/>
      <c r="D191" s="92"/>
      <c r="E191" s="110"/>
      <c r="F191" s="93"/>
      <c r="G191" s="74">
        <f t="shared" si="133"/>
        <v>0</v>
      </c>
      <c r="H191" s="95">
        <f t="shared" si="172"/>
        <v>0</v>
      </c>
      <c r="I191" s="112"/>
      <c r="J191" s="57"/>
      <c r="K191" s="57"/>
      <c r="L191" s="57"/>
      <c r="M191" s="57"/>
      <c r="N191" s="57"/>
      <c r="O191" s="57"/>
      <c r="P191" s="68"/>
      <c r="Q191" s="58"/>
      <c r="R191" s="93"/>
      <c r="S191" s="74">
        <f t="shared" si="144"/>
        <v>0</v>
      </c>
      <c r="T191" s="95">
        <f t="shared" si="141"/>
        <v>0</v>
      </c>
      <c r="U191" s="112"/>
      <c r="V191" s="57"/>
      <c r="W191" s="57"/>
      <c r="X191" s="57"/>
      <c r="Y191" s="57"/>
      <c r="Z191" s="57"/>
      <c r="AA191" s="57"/>
      <c r="AB191" s="68"/>
      <c r="AC191" s="58"/>
      <c r="AD191" s="170">
        <v>4112</v>
      </c>
      <c r="AE191" s="89">
        <f t="shared" si="124"/>
        <v>-4112</v>
      </c>
      <c r="AF191" s="216">
        <f t="shared" si="125"/>
        <v>0</v>
      </c>
      <c r="AG191" s="147"/>
      <c r="AH191" s="148"/>
      <c r="AI191" s="148"/>
      <c r="AJ191" s="148"/>
      <c r="AK191" s="148"/>
      <c r="AL191" s="148"/>
      <c r="AM191" s="148"/>
      <c r="AN191" s="149"/>
      <c r="AO191" s="150"/>
      <c r="AP191" s="76"/>
      <c r="AQ191" s="76"/>
      <c r="AR191" s="128"/>
      <c r="AS191" s="108"/>
      <c r="AT191" s="249"/>
      <c r="AU191" s="249"/>
      <c r="AV191" s="249"/>
    </row>
    <row r="192" spans="1:48" outlineLevel="1" x14ac:dyDescent="0.25">
      <c r="A192" s="4" t="s">
        <v>1071</v>
      </c>
      <c r="B192" s="75" t="s">
        <v>47</v>
      </c>
      <c r="C192" s="25"/>
      <c r="D192" s="92"/>
      <c r="E192" s="110"/>
      <c r="F192" s="93"/>
      <c r="G192" s="74"/>
      <c r="H192" s="95"/>
      <c r="I192" s="112"/>
      <c r="J192" s="57"/>
      <c r="K192" s="57"/>
      <c r="L192" s="57"/>
      <c r="M192" s="57"/>
      <c r="N192" s="57"/>
      <c r="O192" s="57"/>
      <c r="P192" s="68"/>
      <c r="Q192" s="58"/>
      <c r="R192" s="93"/>
      <c r="S192" s="74"/>
      <c r="T192" s="95"/>
      <c r="U192" s="112"/>
      <c r="V192" s="57"/>
      <c r="W192" s="57"/>
      <c r="X192" s="57"/>
      <c r="Y192" s="57"/>
      <c r="Z192" s="57"/>
      <c r="AA192" s="57"/>
      <c r="AB192" s="68"/>
      <c r="AC192" s="58"/>
      <c r="AD192" s="170">
        <v>0</v>
      </c>
      <c r="AE192" s="89">
        <f t="shared" si="124"/>
        <v>0</v>
      </c>
      <c r="AF192" s="216"/>
      <c r="AG192" s="147"/>
      <c r="AH192" s="148"/>
      <c r="AI192" s="148"/>
      <c r="AJ192" s="148"/>
      <c r="AK192" s="148"/>
      <c r="AL192" s="148"/>
      <c r="AM192" s="148"/>
      <c r="AN192" s="149"/>
      <c r="AO192" s="150"/>
      <c r="AP192" s="176"/>
      <c r="AQ192" s="176"/>
      <c r="AR192" s="177"/>
      <c r="AS192" s="108"/>
      <c r="AT192" s="249"/>
      <c r="AU192" s="249"/>
      <c r="AV192" s="249"/>
    </row>
    <row r="193" spans="1:48" s="280" customFormat="1" ht="15.75" x14ac:dyDescent="0.25">
      <c r="A193" s="270" t="s">
        <v>187</v>
      </c>
      <c r="B193" s="271" t="s">
        <v>227</v>
      </c>
      <c r="C193" s="272"/>
      <c r="D193" s="273"/>
      <c r="E193" s="274"/>
      <c r="F193" s="264">
        <f>SUM(F194:F198)</f>
        <v>30300</v>
      </c>
      <c r="G193" s="265">
        <f t="shared" si="133"/>
        <v>9700</v>
      </c>
      <c r="H193" s="275">
        <f t="shared" si="172"/>
        <v>40000</v>
      </c>
      <c r="I193" s="267">
        <f t="shared" ref="I193:Q193" si="173">SUM(I194:I198)</f>
        <v>0</v>
      </c>
      <c r="J193" s="268">
        <f t="shared" si="173"/>
        <v>40000</v>
      </c>
      <c r="K193" s="268">
        <f t="shared" si="173"/>
        <v>0</v>
      </c>
      <c r="L193" s="268">
        <f t="shared" si="173"/>
        <v>0</v>
      </c>
      <c r="M193" s="268">
        <f t="shared" si="173"/>
        <v>0</v>
      </c>
      <c r="N193" s="268">
        <f t="shared" si="173"/>
        <v>0</v>
      </c>
      <c r="O193" s="268">
        <f t="shared" si="173"/>
        <v>0</v>
      </c>
      <c r="P193" s="268">
        <f t="shared" si="173"/>
        <v>0</v>
      </c>
      <c r="Q193" s="269">
        <f t="shared" si="173"/>
        <v>0</v>
      </c>
      <c r="R193" s="264">
        <f>SUM(R194:R198)</f>
        <v>30300</v>
      </c>
      <c r="S193" s="265">
        <f t="shared" si="144"/>
        <v>9700</v>
      </c>
      <c r="T193" s="275">
        <f t="shared" si="141"/>
        <v>40000</v>
      </c>
      <c r="U193" s="267">
        <f t="shared" ref="U193:AC193" si="174">SUM(U194:U198)</f>
        <v>0</v>
      </c>
      <c r="V193" s="268">
        <f t="shared" si="174"/>
        <v>40000</v>
      </c>
      <c r="W193" s="268">
        <f t="shared" si="174"/>
        <v>0</v>
      </c>
      <c r="X193" s="268">
        <f t="shared" si="174"/>
        <v>0</v>
      </c>
      <c r="Y193" s="268">
        <f t="shared" si="174"/>
        <v>0</v>
      </c>
      <c r="Z193" s="268">
        <f t="shared" si="174"/>
        <v>0</v>
      </c>
      <c r="AA193" s="268">
        <f t="shared" si="174"/>
        <v>0</v>
      </c>
      <c r="AB193" s="268">
        <f t="shared" si="174"/>
        <v>0</v>
      </c>
      <c r="AC193" s="269">
        <f t="shared" si="174"/>
        <v>0</v>
      </c>
      <c r="AD193" s="264">
        <f>SUM(AD194:AD198)</f>
        <v>837.47</v>
      </c>
      <c r="AE193" s="265">
        <f t="shared" si="124"/>
        <v>-837.47</v>
      </c>
      <c r="AF193" s="266">
        <f t="shared" si="125"/>
        <v>0</v>
      </c>
      <c r="AG193" s="267">
        <f t="shared" ref="AG193:AO193" si="175">SUM(AG194:AG198)</f>
        <v>0</v>
      </c>
      <c r="AH193" s="268">
        <f t="shared" si="175"/>
        <v>0</v>
      </c>
      <c r="AI193" s="268">
        <f t="shared" si="175"/>
        <v>0</v>
      </c>
      <c r="AJ193" s="268">
        <f t="shared" si="175"/>
        <v>0</v>
      </c>
      <c r="AK193" s="268">
        <f t="shared" si="175"/>
        <v>0</v>
      </c>
      <c r="AL193" s="268">
        <f t="shared" si="175"/>
        <v>0</v>
      </c>
      <c r="AM193" s="268">
        <f t="shared" si="175"/>
        <v>0</v>
      </c>
      <c r="AN193" s="268">
        <f t="shared" si="175"/>
        <v>0</v>
      </c>
      <c r="AO193" s="269">
        <f t="shared" si="175"/>
        <v>0</v>
      </c>
      <c r="AP193" s="276">
        <v>54000</v>
      </c>
      <c r="AQ193" s="276">
        <f>5023.84+83.5+1130.03+2048.06+2801.28+13087.23</f>
        <v>24173.940000000002</v>
      </c>
      <c r="AR193" s="277">
        <f>AQ193*100/AP193</f>
        <v>44.766555555555556</v>
      </c>
      <c r="AS193" s="278">
        <f t="shared" si="126"/>
        <v>1</v>
      </c>
      <c r="AT193" s="279">
        <f t="shared" si="127"/>
        <v>1</v>
      </c>
      <c r="AU193" s="279">
        <f t="shared" si="128"/>
        <v>2.7639273927392741E-2</v>
      </c>
      <c r="AV193" s="279">
        <f t="shared" si="129"/>
        <v>0</v>
      </c>
    </row>
    <row r="194" spans="1:48" outlineLevel="1" x14ac:dyDescent="0.25">
      <c r="A194" s="4" t="s">
        <v>189</v>
      </c>
      <c r="B194" s="75" t="s">
        <v>929</v>
      </c>
      <c r="C194" s="25"/>
      <c r="D194" s="92">
        <v>1</v>
      </c>
      <c r="E194" s="110">
        <v>1200</v>
      </c>
      <c r="F194" s="93">
        <f>D194*E194</f>
        <v>1200</v>
      </c>
      <c r="G194" s="74">
        <f t="shared" si="133"/>
        <v>0</v>
      </c>
      <c r="H194" s="95">
        <f t="shared" si="172"/>
        <v>1200</v>
      </c>
      <c r="I194" s="112"/>
      <c r="J194" s="57">
        <v>1200</v>
      </c>
      <c r="K194" s="57"/>
      <c r="L194" s="57"/>
      <c r="M194" s="57"/>
      <c r="N194" s="57"/>
      <c r="O194" s="57"/>
      <c r="P194" s="68"/>
      <c r="Q194" s="58"/>
      <c r="R194" s="93">
        <v>1200</v>
      </c>
      <c r="S194" s="74">
        <f t="shared" si="144"/>
        <v>0</v>
      </c>
      <c r="T194" s="95">
        <f t="shared" si="141"/>
        <v>1200</v>
      </c>
      <c r="U194" s="112"/>
      <c r="V194" s="57">
        <v>1200</v>
      </c>
      <c r="W194" s="57"/>
      <c r="X194" s="57"/>
      <c r="Y194" s="57"/>
      <c r="Z194" s="57"/>
      <c r="AA194" s="57"/>
      <c r="AB194" s="68"/>
      <c r="AC194" s="58"/>
      <c r="AD194" s="170">
        <f>P194*Q194</f>
        <v>0</v>
      </c>
      <c r="AE194" s="89">
        <f t="shared" si="124"/>
        <v>0</v>
      </c>
      <c r="AF194" s="216">
        <f t="shared" si="125"/>
        <v>0</v>
      </c>
      <c r="AG194" s="147"/>
      <c r="AH194" s="148"/>
      <c r="AI194" s="148"/>
      <c r="AJ194" s="148"/>
      <c r="AK194" s="148"/>
      <c r="AL194" s="148"/>
      <c r="AM194" s="148"/>
      <c r="AN194" s="149"/>
      <c r="AO194" s="150"/>
      <c r="AP194" s="76"/>
      <c r="AQ194" s="76"/>
      <c r="AR194" s="128"/>
      <c r="AS194" s="108">
        <f t="shared" si="126"/>
        <v>1</v>
      </c>
      <c r="AT194" s="249">
        <f t="shared" si="127"/>
        <v>1</v>
      </c>
      <c r="AU194" s="249">
        <f t="shared" si="128"/>
        <v>0</v>
      </c>
      <c r="AV194" s="249">
        <f t="shared" si="129"/>
        <v>0</v>
      </c>
    </row>
    <row r="195" spans="1:48" outlineLevel="1" x14ac:dyDescent="0.25">
      <c r="A195" s="4" t="s">
        <v>190</v>
      </c>
      <c r="B195" s="75" t="s">
        <v>930</v>
      </c>
      <c r="C195" s="25"/>
      <c r="D195" s="92">
        <v>1</v>
      </c>
      <c r="E195" s="110">
        <v>24000</v>
      </c>
      <c r="F195" s="93">
        <f>D195*E195</f>
        <v>24000</v>
      </c>
      <c r="G195" s="74">
        <f t="shared" si="133"/>
        <v>9700</v>
      </c>
      <c r="H195" s="95">
        <f t="shared" si="172"/>
        <v>33700</v>
      </c>
      <c r="I195" s="112"/>
      <c r="J195" s="57">
        <f>24000+9700</f>
        <v>33700</v>
      </c>
      <c r="K195" s="57"/>
      <c r="L195" s="57"/>
      <c r="M195" s="57"/>
      <c r="N195" s="57"/>
      <c r="O195" s="57"/>
      <c r="P195" s="68"/>
      <c r="Q195" s="58"/>
      <c r="R195" s="93">
        <v>24000</v>
      </c>
      <c r="S195" s="74">
        <f t="shared" si="144"/>
        <v>9700</v>
      </c>
      <c r="T195" s="95">
        <f t="shared" si="141"/>
        <v>33700</v>
      </c>
      <c r="U195" s="112"/>
      <c r="V195" s="57">
        <f>24000+9700</f>
        <v>33700</v>
      </c>
      <c r="W195" s="57"/>
      <c r="X195" s="57"/>
      <c r="Y195" s="57"/>
      <c r="Z195" s="57"/>
      <c r="AA195" s="57"/>
      <c r="AB195" s="68"/>
      <c r="AC195" s="58"/>
      <c r="AD195" s="170">
        <f>P195*Q195</f>
        <v>0</v>
      </c>
      <c r="AE195" s="89">
        <f t="shared" si="124"/>
        <v>0</v>
      </c>
      <c r="AF195" s="216">
        <f t="shared" si="125"/>
        <v>0</v>
      </c>
      <c r="AG195" s="147"/>
      <c r="AH195" s="148"/>
      <c r="AI195" s="148"/>
      <c r="AJ195" s="148"/>
      <c r="AK195" s="148"/>
      <c r="AL195" s="148"/>
      <c r="AM195" s="148"/>
      <c r="AN195" s="149"/>
      <c r="AO195" s="150"/>
      <c r="AP195" s="76"/>
      <c r="AQ195" s="76"/>
      <c r="AR195" s="128"/>
      <c r="AS195" s="108">
        <f t="shared" si="126"/>
        <v>1</v>
      </c>
      <c r="AT195" s="249">
        <f t="shared" si="127"/>
        <v>1</v>
      </c>
      <c r="AU195" s="249">
        <f t="shared" si="128"/>
        <v>0</v>
      </c>
      <c r="AV195" s="249">
        <f t="shared" si="129"/>
        <v>0</v>
      </c>
    </row>
    <row r="196" spans="1:48" outlineLevel="1" x14ac:dyDescent="0.25">
      <c r="A196" s="4" t="s">
        <v>191</v>
      </c>
      <c r="B196" s="75" t="s">
        <v>931</v>
      </c>
      <c r="C196" s="25"/>
      <c r="D196" s="92">
        <v>1</v>
      </c>
      <c r="E196" s="110">
        <v>3000</v>
      </c>
      <c r="F196" s="93">
        <f>D196*E196</f>
        <v>3000</v>
      </c>
      <c r="G196" s="74">
        <f t="shared" si="133"/>
        <v>0</v>
      </c>
      <c r="H196" s="95">
        <f t="shared" si="172"/>
        <v>3000</v>
      </c>
      <c r="I196" s="112"/>
      <c r="J196" s="57">
        <v>3000</v>
      </c>
      <c r="K196" s="57"/>
      <c r="L196" s="57"/>
      <c r="M196" s="57"/>
      <c r="N196" s="57"/>
      <c r="O196" s="57"/>
      <c r="P196" s="68"/>
      <c r="Q196" s="58"/>
      <c r="R196" s="93">
        <v>3000</v>
      </c>
      <c r="S196" s="74">
        <f t="shared" si="144"/>
        <v>0</v>
      </c>
      <c r="T196" s="95">
        <f t="shared" si="141"/>
        <v>3000</v>
      </c>
      <c r="U196" s="112"/>
      <c r="V196" s="57">
        <v>3000</v>
      </c>
      <c r="W196" s="57"/>
      <c r="X196" s="57"/>
      <c r="Y196" s="57"/>
      <c r="Z196" s="57"/>
      <c r="AA196" s="57"/>
      <c r="AB196" s="68"/>
      <c r="AC196" s="58"/>
      <c r="AD196" s="170">
        <f>P196*Q196</f>
        <v>0</v>
      </c>
      <c r="AE196" s="89">
        <f t="shared" si="124"/>
        <v>0</v>
      </c>
      <c r="AF196" s="216">
        <f t="shared" si="125"/>
        <v>0</v>
      </c>
      <c r="AG196" s="147"/>
      <c r="AH196" s="148"/>
      <c r="AI196" s="148"/>
      <c r="AJ196" s="148"/>
      <c r="AK196" s="148"/>
      <c r="AL196" s="148"/>
      <c r="AM196" s="148"/>
      <c r="AN196" s="149"/>
      <c r="AO196" s="150"/>
      <c r="AP196" s="76"/>
      <c r="AQ196" s="76"/>
      <c r="AR196" s="128"/>
      <c r="AS196" s="108">
        <f t="shared" si="126"/>
        <v>1</v>
      </c>
      <c r="AT196" s="249">
        <f t="shared" si="127"/>
        <v>1</v>
      </c>
      <c r="AU196" s="249">
        <f t="shared" si="128"/>
        <v>0</v>
      </c>
      <c r="AV196" s="249">
        <f t="shared" si="129"/>
        <v>0</v>
      </c>
    </row>
    <row r="197" spans="1:48" outlineLevel="1" x14ac:dyDescent="0.25">
      <c r="A197" s="4" t="s">
        <v>192</v>
      </c>
      <c r="B197" s="75" t="s">
        <v>932</v>
      </c>
      <c r="C197" s="25"/>
      <c r="D197" s="92">
        <v>1</v>
      </c>
      <c r="E197" s="110">
        <v>2100</v>
      </c>
      <c r="F197" s="93">
        <f>D197*E197</f>
        <v>2100</v>
      </c>
      <c r="G197" s="74">
        <f t="shared" si="133"/>
        <v>0</v>
      </c>
      <c r="H197" s="95">
        <f t="shared" si="172"/>
        <v>2100</v>
      </c>
      <c r="I197" s="112"/>
      <c r="J197" s="57">
        <v>2100</v>
      </c>
      <c r="K197" s="57"/>
      <c r="L197" s="57"/>
      <c r="M197" s="57"/>
      <c r="N197" s="57"/>
      <c r="O197" s="57"/>
      <c r="P197" s="68"/>
      <c r="Q197" s="58"/>
      <c r="R197" s="93">
        <v>2100</v>
      </c>
      <c r="S197" s="74">
        <f t="shared" si="144"/>
        <v>0</v>
      </c>
      <c r="T197" s="95">
        <f t="shared" si="141"/>
        <v>2100</v>
      </c>
      <c r="U197" s="112"/>
      <c r="V197" s="57">
        <v>2100</v>
      </c>
      <c r="W197" s="57"/>
      <c r="X197" s="57"/>
      <c r="Y197" s="57"/>
      <c r="Z197" s="57"/>
      <c r="AA197" s="57"/>
      <c r="AB197" s="68"/>
      <c r="AC197" s="58"/>
      <c r="AD197" s="170">
        <v>309.56</v>
      </c>
      <c r="AE197" s="89">
        <f t="shared" si="124"/>
        <v>-309.56</v>
      </c>
      <c r="AF197" s="216">
        <f t="shared" si="125"/>
        <v>0</v>
      </c>
      <c r="AG197" s="147"/>
      <c r="AH197" s="148"/>
      <c r="AI197" s="148"/>
      <c r="AJ197" s="148"/>
      <c r="AK197" s="148"/>
      <c r="AL197" s="148"/>
      <c r="AM197" s="148"/>
      <c r="AN197" s="149"/>
      <c r="AO197" s="150"/>
      <c r="AP197" s="76"/>
      <c r="AQ197" s="76"/>
      <c r="AR197" s="128"/>
      <c r="AS197" s="108">
        <f t="shared" ref="AS197:AS260" si="176">+R197/F197</f>
        <v>1</v>
      </c>
      <c r="AT197" s="249">
        <f t="shared" ref="AT197:AT260" si="177">+T197/H197</f>
        <v>1</v>
      </c>
      <c r="AU197" s="249">
        <f t="shared" ref="AU197:AU260" si="178">+AD197/F197</f>
        <v>0.14740952380952382</v>
      </c>
      <c r="AV197" s="249">
        <f t="shared" ref="AV197:AV260" si="179">+AF197/H197</f>
        <v>0</v>
      </c>
    </row>
    <row r="198" spans="1:48" outlineLevel="1" x14ac:dyDescent="0.25">
      <c r="A198" s="4" t="s">
        <v>1072</v>
      </c>
      <c r="B198" s="75" t="s">
        <v>47</v>
      </c>
      <c r="C198" s="25"/>
      <c r="D198" s="92"/>
      <c r="E198" s="110"/>
      <c r="F198" s="93">
        <f>D198*E198</f>
        <v>0</v>
      </c>
      <c r="G198" s="94">
        <f t="shared" si="133"/>
        <v>0</v>
      </c>
      <c r="H198" s="95">
        <f t="shared" si="172"/>
        <v>0</v>
      </c>
      <c r="I198" s="112"/>
      <c r="J198" s="57"/>
      <c r="K198" s="57"/>
      <c r="L198" s="57"/>
      <c r="M198" s="57"/>
      <c r="N198" s="57"/>
      <c r="O198" s="57"/>
      <c r="P198" s="68"/>
      <c r="Q198" s="58"/>
      <c r="R198" s="93">
        <f>P198*Q198</f>
        <v>0</v>
      </c>
      <c r="S198" s="94">
        <f t="shared" si="144"/>
        <v>0</v>
      </c>
      <c r="T198" s="95">
        <f t="shared" si="141"/>
        <v>0</v>
      </c>
      <c r="U198" s="112"/>
      <c r="V198" s="57"/>
      <c r="W198" s="57"/>
      <c r="X198" s="57"/>
      <c r="Y198" s="57"/>
      <c r="Z198" s="57"/>
      <c r="AA198" s="57"/>
      <c r="AB198" s="68"/>
      <c r="AC198" s="58"/>
      <c r="AD198" s="170">
        <v>527.91</v>
      </c>
      <c r="AE198" s="89">
        <f t="shared" si="124"/>
        <v>-527.91</v>
      </c>
      <c r="AF198" s="216">
        <f t="shared" si="125"/>
        <v>0</v>
      </c>
      <c r="AG198" s="147"/>
      <c r="AH198" s="148"/>
      <c r="AI198" s="148"/>
      <c r="AJ198" s="148"/>
      <c r="AK198" s="148"/>
      <c r="AL198" s="148"/>
      <c r="AM198" s="148"/>
      <c r="AN198" s="149"/>
      <c r="AO198" s="150"/>
      <c r="AP198" s="76"/>
      <c r="AQ198" s="76"/>
      <c r="AR198" s="128"/>
      <c r="AS198" s="108"/>
      <c r="AT198" s="249"/>
      <c r="AU198" s="249"/>
      <c r="AV198" s="249"/>
    </row>
    <row r="199" spans="1:48" s="280" customFormat="1" ht="15.75" x14ac:dyDescent="0.25">
      <c r="A199" s="270" t="s">
        <v>194</v>
      </c>
      <c r="B199" s="271" t="s">
        <v>317</v>
      </c>
      <c r="C199" s="272"/>
      <c r="D199" s="273"/>
      <c r="E199" s="274"/>
      <c r="F199" s="264">
        <f>SUM(F200:F204)</f>
        <v>4389</v>
      </c>
      <c r="G199" s="265">
        <f t="shared" si="133"/>
        <v>0</v>
      </c>
      <c r="H199" s="275">
        <f t="shared" si="172"/>
        <v>4389</v>
      </c>
      <c r="I199" s="267">
        <f t="shared" ref="I199:Q199" si="180">SUM(I200:I204)</f>
        <v>0</v>
      </c>
      <c r="J199" s="268">
        <f t="shared" si="180"/>
        <v>4389</v>
      </c>
      <c r="K199" s="268">
        <f t="shared" si="180"/>
        <v>0</v>
      </c>
      <c r="L199" s="268">
        <f t="shared" si="180"/>
        <v>0</v>
      </c>
      <c r="M199" s="268">
        <f t="shared" si="180"/>
        <v>0</v>
      </c>
      <c r="N199" s="268">
        <f t="shared" si="180"/>
        <v>0</v>
      </c>
      <c r="O199" s="268">
        <f t="shared" si="180"/>
        <v>0</v>
      </c>
      <c r="P199" s="268">
        <f t="shared" si="180"/>
        <v>0</v>
      </c>
      <c r="Q199" s="269">
        <f t="shared" si="180"/>
        <v>0</v>
      </c>
      <c r="R199" s="264">
        <f>SUM(R200:R209)</f>
        <v>4389</v>
      </c>
      <c r="S199" s="265">
        <f t="shared" si="144"/>
        <v>0</v>
      </c>
      <c r="T199" s="275">
        <f t="shared" si="141"/>
        <v>4389</v>
      </c>
      <c r="U199" s="267">
        <f>SUM(U200:U209)</f>
        <v>0</v>
      </c>
      <c r="V199" s="267">
        <f t="shared" ref="V199:AC199" si="181">SUM(V200:V209)</f>
        <v>4389</v>
      </c>
      <c r="W199" s="267">
        <f t="shared" si="181"/>
        <v>0</v>
      </c>
      <c r="X199" s="267">
        <f t="shared" si="181"/>
        <v>0</v>
      </c>
      <c r="Y199" s="267">
        <f t="shared" si="181"/>
        <v>0</v>
      </c>
      <c r="Z199" s="267">
        <f t="shared" si="181"/>
        <v>0</v>
      </c>
      <c r="AA199" s="267">
        <f t="shared" si="181"/>
        <v>0</v>
      </c>
      <c r="AB199" s="267">
        <f t="shared" si="181"/>
        <v>0</v>
      </c>
      <c r="AC199" s="267">
        <f t="shared" si="181"/>
        <v>0</v>
      </c>
      <c r="AD199" s="264">
        <f>SUM(AD200:AD209)</f>
        <v>2738.28</v>
      </c>
      <c r="AE199" s="265">
        <f t="shared" ref="AE199:AE267" si="182">AF199-AD199</f>
        <v>-2738.28</v>
      </c>
      <c r="AF199" s="266">
        <f t="shared" ref="AF199:AF267" si="183">+AG199+AH199+AI199+AJ199+AK199+AL199+AM199+AN199+AO199</f>
        <v>0</v>
      </c>
      <c r="AG199" s="264">
        <f>SUM(AG200:AG209)</f>
        <v>0</v>
      </c>
      <c r="AH199" s="264">
        <f t="shared" ref="AH199:AO199" si="184">SUM(AH200:AH209)</f>
        <v>0</v>
      </c>
      <c r="AI199" s="264">
        <f t="shared" si="184"/>
        <v>0</v>
      </c>
      <c r="AJ199" s="264">
        <f t="shared" si="184"/>
        <v>0</v>
      </c>
      <c r="AK199" s="264">
        <f t="shared" si="184"/>
        <v>0</v>
      </c>
      <c r="AL199" s="264">
        <f t="shared" si="184"/>
        <v>0</v>
      </c>
      <c r="AM199" s="264">
        <f t="shared" si="184"/>
        <v>0</v>
      </c>
      <c r="AN199" s="264">
        <f t="shared" si="184"/>
        <v>0</v>
      </c>
      <c r="AO199" s="264">
        <f t="shared" si="184"/>
        <v>0</v>
      </c>
      <c r="AP199" s="276">
        <v>4000</v>
      </c>
      <c r="AQ199" s="276">
        <f>SUM(AQ200:AQ204)</f>
        <v>0</v>
      </c>
      <c r="AR199" s="277">
        <f>AQ199*100/AP199</f>
        <v>0</v>
      </c>
      <c r="AS199" s="278">
        <f t="shared" si="176"/>
        <v>1</v>
      </c>
      <c r="AT199" s="279">
        <f t="shared" si="177"/>
        <v>1</v>
      </c>
      <c r="AU199" s="279">
        <f t="shared" si="178"/>
        <v>0.62389610389610395</v>
      </c>
      <c r="AV199" s="279">
        <f t="shared" si="179"/>
        <v>0</v>
      </c>
    </row>
    <row r="200" spans="1:48" outlineLevel="1" x14ac:dyDescent="0.25">
      <c r="A200" s="4" t="s">
        <v>196</v>
      </c>
      <c r="B200" s="75" t="s">
        <v>320</v>
      </c>
      <c r="C200" s="25"/>
      <c r="D200" s="92">
        <v>1</v>
      </c>
      <c r="E200" s="110">
        <v>0</v>
      </c>
      <c r="F200" s="93">
        <f>D200*E200</f>
        <v>0</v>
      </c>
      <c r="G200" s="74">
        <f t="shared" si="133"/>
        <v>0</v>
      </c>
      <c r="H200" s="95">
        <f t="shared" si="172"/>
        <v>0</v>
      </c>
      <c r="I200" s="112"/>
      <c r="J200" s="57">
        <v>0</v>
      </c>
      <c r="K200" s="57"/>
      <c r="L200" s="57"/>
      <c r="M200" s="57"/>
      <c r="N200" s="57"/>
      <c r="O200" s="57"/>
      <c r="P200" s="68"/>
      <c r="Q200" s="58"/>
      <c r="R200" s="93">
        <v>0</v>
      </c>
      <c r="S200" s="74">
        <f t="shared" si="144"/>
        <v>0</v>
      </c>
      <c r="T200" s="95">
        <f t="shared" si="141"/>
        <v>0</v>
      </c>
      <c r="U200" s="112"/>
      <c r="V200" s="57">
        <v>0</v>
      </c>
      <c r="W200" s="57"/>
      <c r="X200" s="57"/>
      <c r="Y200" s="57"/>
      <c r="Z200" s="57"/>
      <c r="AA200" s="57"/>
      <c r="AB200" s="68"/>
      <c r="AC200" s="58"/>
      <c r="AD200" s="170">
        <f>P200*Q200</f>
        <v>0</v>
      </c>
      <c r="AE200" s="89">
        <f t="shared" si="182"/>
        <v>0</v>
      </c>
      <c r="AF200" s="216">
        <f t="shared" si="183"/>
        <v>0</v>
      </c>
      <c r="AG200" s="147"/>
      <c r="AH200" s="148"/>
      <c r="AI200" s="148"/>
      <c r="AJ200" s="148"/>
      <c r="AK200" s="148"/>
      <c r="AL200" s="148"/>
      <c r="AM200" s="148"/>
      <c r="AN200" s="149"/>
      <c r="AO200" s="150"/>
      <c r="AP200" s="76"/>
      <c r="AQ200" s="76"/>
      <c r="AR200" s="128"/>
      <c r="AS200" s="108"/>
      <c r="AT200" s="249"/>
      <c r="AU200" s="249"/>
      <c r="AV200" s="249"/>
    </row>
    <row r="201" spans="1:48" outlineLevel="1" x14ac:dyDescent="0.25">
      <c r="A201" s="4" t="s">
        <v>197</v>
      </c>
      <c r="B201" s="75" t="s">
        <v>318</v>
      </c>
      <c r="C201" s="25"/>
      <c r="D201" s="92">
        <v>1</v>
      </c>
      <c r="E201" s="110">
        <v>2759</v>
      </c>
      <c r="F201" s="93">
        <f>D201*E201</f>
        <v>2759</v>
      </c>
      <c r="G201" s="74">
        <f t="shared" si="133"/>
        <v>0</v>
      </c>
      <c r="H201" s="95">
        <f t="shared" si="172"/>
        <v>2759</v>
      </c>
      <c r="I201" s="112"/>
      <c r="J201" s="57">
        <v>2759</v>
      </c>
      <c r="K201" s="57"/>
      <c r="L201" s="57"/>
      <c r="M201" s="57"/>
      <c r="N201" s="57"/>
      <c r="O201" s="57"/>
      <c r="P201" s="68"/>
      <c r="Q201" s="58"/>
      <c r="R201" s="93">
        <v>2759</v>
      </c>
      <c r="S201" s="74">
        <f t="shared" si="144"/>
        <v>0</v>
      </c>
      <c r="T201" s="95">
        <f t="shared" si="141"/>
        <v>2759</v>
      </c>
      <c r="U201" s="112"/>
      <c r="V201" s="57">
        <v>2759</v>
      </c>
      <c r="W201" s="57"/>
      <c r="X201" s="57"/>
      <c r="Y201" s="57"/>
      <c r="Z201" s="57"/>
      <c r="AA201" s="57"/>
      <c r="AB201" s="68"/>
      <c r="AC201" s="58"/>
      <c r="AD201" s="170">
        <f>P201*Q201</f>
        <v>0</v>
      </c>
      <c r="AE201" s="89">
        <f t="shared" si="182"/>
        <v>0</v>
      </c>
      <c r="AF201" s="216">
        <f t="shared" si="183"/>
        <v>0</v>
      </c>
      <c r="AG201" s="147"/>
      <c r="AH201" s="148"/>
      <c r="AI201" s="148"/>
      <c r="AJ201" s="148"/>
      <c r="AK201" s="148"/>
      <c r="AL201" s="148"/>
      <c r="AM201" s="148"/>
      <c r="AN201" s="149"/>
      <c r="AO201" s="150"/>
      <c r="AP201" s="76"/>
      <c r="AQ201" s="76"/>
      <c r="AR201" s="128"/>
      <c r="AS201" s="108">
        <f t="shared" si="176"/>
        <v>1</v>
      </c>
      <c r="AT201" s="249">
        <f t="shared" si="177"/>
        <v>1</v>
      </c>
      <c r="AU201" s="249">
        <f t="shared" si="178"/>
        <v>0</v>
      </c>
      <c r="AV201" s="249">
        <f t="shared" si="179"/>
        <v>0</v>
      </c>
    </row>
    <row r="202" spans="1:48" outlineLevel="1" x14ac:dyDescent="0.25">
      <c r="A202" s="4" t="s">
        <v>198</v>
      </c>
      <c r="B202" s="75" t="s">
        <v>319</v>
      </c>
      <c r="C202" s="25"/>
      <c r="D202" s="92">
        <v>1</v>
      </c>
      <c r="E202" s="110">
        <v>1630</v>
      </c>
      <c r="F202" s="93">
        <f>D202*E202</f>
        <v>1630</v>
      </c>
      <c r="G202" s="74">
        <f t="shared" si="133"/>
        <v>0</v>
      </c>
      <c r="H202" s="95">
        <f t="shared" si="172"/>
        <v>1630</v>
      </c>
      <c r="I202" s="112"/>
      <c r="J202" s="57">
        <v>1630</v>
      </c>
      <c r="K202" s="57"/>
      <c r="L202" s="57"/>
      <c r="M202" s="57"/>
      <c r="N202" s="57"/>
      <c r="O202" s="57"/>
      <c r="P202" s="68"/>
      <c r="Q202" s="58"/>
      <c r="R202" s="93">
        <v>1630</v>
      </c>
      <c r="S202" s="74">
        <f t="shared" si="144"/>
        <v>0</v>
      </c>
      <c r="T202" s="95">
        <f t="shared" si="141"/>
        <v>1630</v>
      </c>
      <c r="U202" s="112"/>
      <c r="V202" s="57">
        <v>1630</v>
      </c>
      <c r="W202" s="57"/>
      <c r="X202" s="57"/>
      <c r="Y202" s="57"/>
      <c r="Z202" s="57"/>
      <c r="AA202" s="57"/>
      <c r="AB202" s="68"/>
      <c r="AC202" s="58"/>
      <c r="AD202" s="170">
        <f>P202*Q202</f>
        <v>0</v>
      </c>
      <c r="AE202" s="89">
        <f t="shared" si="182"/>
        <v>0</v>
      </c>
      <c r="AF202" s="216">
        <f t="shared" si="183"/>
        <v>0</v>
      </c>
      <c r="AG202" s="147"/>
      <c r="AH202" s="148"/>
      <c r="AI202" s="148"/>
      <c r="AJ202" s="148"/>
      <c r="AK202" s="148"/>
      <c r="AL202" s="148"/>
      <c r="AM202" s="148"/>
      <c r="AN202" s="149"/>
      <c r="AO202" s="150"/>
      <c r="AP202" s="76"/>
      <c r="AQ202" s="76"/>
      <c r="AR202" s="128"/>
      <c r="AS202" s="108">
        <f t="shared" si="176"/>
        <v>1</v>
      </c>
      <c r="AT202" s="249">
        <f t="shared" si="177"/>
        <v>1</v>
      </c>
      <c r="AU202" s="249">
        <f t="shared" si="178"/>
        <v>0</v>
      </c>
      <c r="AV202" s="249">
        <f t="shared" si="179"/>
        <v>0</v>
      </c>
    </row>
    <row r="203" spans="1:48" outlineLevel="1" x14ac:dyDescent="0.25">
      <c r="A203" s="4" t="s">
        <v>199</v>
      </c>
      <c r="B203" s="75" t="s">
        <v>321</v>
      </c>
      <c r="C203" s="25"/>
      <c r="D203" s="92">
        <v>1</v>
      </c>
      <c r="E203" s="110">
        <v>0</v>
      </c>
      <c r="F203" s="93">
        <f>D203*E203</f>
        <v>0</v>
      </c>
      <c r="G203" s="74">
        <f t="shared" si="133"/>
        <v>0</v>
      </c>
      <c r="H203" s="95">
        <f t="shared" si="172"/>
        <v>0</v>
      </c>
      <c r="I203" s="112"/>
      <c r="J203" s="57"/>
      <c r="K203" s="57"/>
      <c r="L203" s="57"/>
      <c r="M203" s="57"/>
      <c r="N203" s="57"/>
      <c r="O203" s="57"/>
      <c r="P203" s="68"/>
      <c r="Q203" s="58"/>
      <c r="R203" s="93">
        <f>P203*Q203</f>
        <v>0</v>
      </c>
      <c r="S203" s="74">
        <f t="shared" si="144"/>
        <v>0</v>
      </c>
      <c r="T203" s="95">
        <f t="shared" si="141"/>
        <v>0</v>
      </c>
      <c r="U203" s="112"/>
      <c r="V203" s="57"/>
      <c r="W203" s="57"/>
      <c r="X203" s="57"/>
      <c r="Y203" s="57"/>
      <c r="Z203" s="57"/>
      <c r="AA203" s="57"/>
      <c r="AB203" s="68"/>
      <c r="AC203" s="58"/>
      <c r="AD203" s="170">
        <f>P203*Q203</f>
        <v>0</v>
      </c>
      <c r="AE203" s="89">
        <f t="shared" si="182"/>
        <v>0</v>
      </c>
      <c r="AF203" s="216">
        <f t="shared" si="183"/>
        <v>0</v>
      </c>
      <c r="AG203" s="147"/>
      <c r="AH203" s="148"/>
      <c r="AI203" s="148"/>
      <c r="AJ203" s="148"/>
      <c r="AK203" s="148"/>
      <c r="AL203" s="148"/>
      <c r="AM203" s="148"/>
      <c r="AN203" s="149"/>
      <c r="AO203" s="150"/>
      <c r="AP203" s="76"/>
      <c r="AQ203" s="76"/>
      <c r="AR203" s="128"/>
      <c r="AS203" s="108"/>
      <c r="AT203" s="249"/>
      <c r="AU203" s="249"/>
      <c r="AV203" s="249"/>
    </row>
    <row r="204" spans="1:48" outlineLevel="1" x14ac:dyDescent="0.25">
      <c r="A204" s="4" t="s">
        <v>200</v>
      </c>
      <c r="B204" s="75" t="s">
        <v>1017</v>
      </c>
      <c r="C204" s="25"/>
      <c r="D204" s="92">
        <v>1</v>
      </c>
      <c r="E204" s="110">
        <v>0</v>
      </c>
      <c r="F204" s="93">
        <f>D204*E204</f>
        <v>0</v>
      </c>
      <c r="G204" s="74">
        <f t="shared" si="133"/>
        <v>0</v>
      </c>
      <c r="H204" s="95">
        <f t="shared" si="172"/>
        <v>0</v>
      </c>
      <c r="I204" s="112"/>
      <c r="J204" s="57"/>
      <c r="K204" s="57"/>
      <c r="L204" s="57"/>
      <c r="M204" s="57"/>
      <c r="N204" s="57"/>
      <c r="O204" s="57"/>
      <c r="P204" s="68"/>
      <c r="Q204" s="58"/>
      <c r="R204" s="93">
        <f>P204*Q204</f>
        <v>0</v>
      </c>
      <c r="S204" s="74">
        <f t="shared" si="144"/>
        <v>0</v>
      </c>
      <c r="T204" s="95">
        <f t="shared" si="141"/>
        <v>0</v>
      </c>
      <c r="U204" s="112"/>
      <c r="V204" s="57"/>
      <c r="W204" s="57"/>
      <c r="X204" s="57"/>
      <c r="Y204" s="57"/>
      <c r="Z204" s="57"/>
      <c r="AA204" s="57"/>
      <c r="AB204" s="68"/>
      <c r="AC204" s="58"/>
      <c r="AD204" s="170">
        <f>P204*Q204</f>
        <v>0</v>
      </c>
      <c r="AE204" s="89">
        <f t="shared" si="182"/>
        <v>0</v>
      </c>
      <c r="AF204" s="216">
        <f t="shared" si="183"/>
        <v>0</v>
      </c>
      <c r="AG204" s="147"/>
      <c r="AH204" s="148"/>
      <c r="AI204" s="148"/>
      <c r="AJ204" s="148"/>
      <c r="AK204" s="148"/>
      <c r="AL204" s="148"/>
      <c r="AM204" s="148"/>
      <c r="AN204" s="149"/>
      <c r="AO204" s="150"/>
      <c r="AP204" s="76"/>
      <c r="AQ204" s="76"/>
      <c r="AR204" s="128"/>
      <c r="AS204" s="108"/>
      <c r="AT204" s="249"/>
      <c r="AU204" s="249"/>
      <c r="AV204" s="249"/>
    </row>
    <row r="205" spans="1:48" outlineLevel="1" x14ac:dyDescent="0.25">
      <c r="A205" s="4" t="s">
        <v>1073</v>
      </c>
      <c r="B205" s="75" t="s">
        <v>1074</v>
      </c>
      <c r="C205" s="25"/>
      <c r="D205" s="92"/>
      <c r="E205" s="110"/>
      <c r="F205" s="93"/>
      <c r="G205" s="74"/>
      <c r="H205" s="95"/>
      <c r="I205" s="112"/>
      <c r="J205" s="57"/>
      <c r="K205" s="57"/>
      <c r="L205" s="57"/>
      <c r="M205" s="57"/>
      <c r="N205" s="57"/>
      <c r="O205" s="57"/>
      <c r="P205" s="68"/>
      <c r="Q205" s="58"/>
      <c r="R205" s="93"/>
      <c r="S205" s="74">
        <f t="shared" si="144"/>
        <v>0</v>
      </c>
      <c r="T205" s="95">
        <f t="shared" si="141"/>
        <v>0</v>
      </c>
      <c r="U205" s="112"/>
      <c r="V205" s="57"/>
      <c r="W205" s="57"/>
      <c r="X205" s="57"/>
      <c r="Y205" s="57"/>
      <c r="Z205" s="57"/>
      <c r="AA205" s="57"/>
      <c r="AB205" s="68"/>
      <c r="AC205" s="58"/>
      <c r="AD205" s="170"/>
      <c r="AE205" s="89">
        <f t="shared" si="182"/>
        <v>0</v>
      </c>
      <c r="AF205" s="216">
        <f t="shared" si="183"/>
        <v>0</v>
      </c>
      <c r="AG205" s="147"/>
      <c r="AH205" s="148"/>
      <c r="AI205" s="148"/>
      <c r="AJ205" s="148"/>
      <c r="AK205" s="148"/>
      <c r="AL205" s="148"/>
      <c r="AM205" s="148"/>
      <c r="AN205" s="149"/>
      <c r="AO205" s="150"/>
      <c r="AP205" s="176"/>
      <c r="AQ205" s="176"/>
      <c r="AR205" s="177"/>
      <c r="AS205" s="108"/>
      <c r="AT205" s="249"/>
      <c r="AU205" s="249"/>
      <c r="AV205" s="249"/>
    </row>
    <row r="206" spans="1:48" outlineLevel="1" x14ac:dyDescent="0.25">
      <c r="A206" s="4" t="s">
        <v>1075</v>
      </c>
      <c r="B206" s="75" t="s">
        <v>1076</v>
      </c>
      <c r="C206" s="25"/>
      <c r="D206" s="92"/>
      <c r="E206" s="110"/>
      <c r="F206" s="93"/>
      <c r="G206" s="74"/>
      <c r="H206" s="95"/>
      <c r="I206" s="112"/>
      <c r="J206" s="57"/>
      <c r="K206" s="57"/>
      <c r="L206" s="57"/>
      <c r="M206" s="57"/>
      <c r="N206" s="57"/>
      <c r="O206" s="57"/>
      <c r="P206" s="68"/>
      <c r="Q206" s="58"/>
      <c r="R206" s="93"/>
      <c r="S206" s="74">
        <f t="shared" si="144"/>
        <v>0</v>
      </c>
      <c r="T206" s="95">
        <f t="shared" si="141"/>
        <v>0</v>
      </c>
      <c r="U206" s="112"/>
      <c r="V206" s="57"/>
      <c r="W206" s="57"/>
      <c r="X206" s="57"/>
      <c r="Y206" s="57"/>
      <c r="Z206" s="57"/>
      <c r="AA206" s="57"/>
      <c r="AB206" s="68"/>
      <c r="AC206" s="58"/>
      <c r="AD206" s="170"/>
      <c r="AE206" s="89">
        <f t="shared" si="182"/>
        <v>0</v>
      </c>
      <c r="AF206" s="216">
        <f t="shared" si="183"/>
        <v>0</v>
      </c>
      <c r="AG206" s="147"/>
      <c r="AH206" s="148"/>
      <c r="AI206" s="148"/>
      <c r="AJ206" s="148"/>
      <c r="AK206" s="148"/>
      <c r="AL206" s="148"/>
      <c r="AM206" s="148"/>
      <c r="AN206" s="149"/>
      <c r="AO206" s="150"/>
      <c r="AP206" s="176"/>
      <c r="AQ206" s="176"/>
      <c r="AR206" s="177"/>
      <c r="AS206" s="108"/>
      <c r="AT206" s="249"/>
      <c r="AU206" s="249"/>
      <c r="AV206" s="249"/>
    </row>
    <row r="207" spans="1:48" outlineLevel="1" x14ac:dyDescent="0.25">
      <c r="A207" s="4" t="s">
        <v>1007</v>
      </c>
      <c r="B207" s="75" t="s">
        <v>1016</v>
      </c>
      <c r="C207" s="25"/>
      <c r="D207" s="92"/>
      <c r="E207" s="110"/>
      <c r="F207" s="93"/>
      <c r="G207" s="74"/>
      <c r="H207" s="95"/>
      <c r="I207" s="112"/>
      <c r="J207" s="57"/>
      <c r="K207" s="57"/>
      <c r="L207" s="57"/>
      <c r="M207" s="57"/>
      <c r="N207" s="57"/>
      <c r="O207" s="57"/>
      <c r="P207" s="68"/>
      <c r="Q207" s="58"/>
      <c r="R207" s="93"/>
      <c r="S207" s="74">
        <f t="shared" si="144"/>
        <v>0</v>
      </c>
      <c r="T207" s="95">
        <f t="shared" si="141"/>
        <v>0</v>
      </c>
      <c r="U207" s="112"/>
      <c r="V207" s="57"/>
      <c r="W207" s="57"/>
      <c r="X207" s="57"/>
      <c r="Y207" s="57"/>
      <c r="Z207" s="57"/>
      <c r="AA207" s="57"/>
      <c r="AB207" s="68"/>
      <c r="AC207" s="58"/>
      <c r="AD207" s="242">
        <v>2738.28</v>
      </c>
      <c r="AE207" s="89">
        <f t="shared" si="182"/>
        <v>-2738.28</v>
      </c>
      <c r="AF207" s="216">
        <f t="shared" si="183"/>
        <v>0</v>
      </c>
      <c r="AG207" s="147"/>
      <c r="AH207" s="148"/>
      <c r="AI207" s="148"/>
      <c r="AJ207" s="148"/>
      <c r="AK207" s="148"/>
      <c r="AL207" s="148"/>
      <c r="AM207" s="148"/>
      <c r="AN207" s="149"/>
      <c r="AO207" s="150"/>
      <c r="AP207" s="176"/>
      <c r="AQ207" s="176"/>
      <c r="AR207" s="177"/>
      <c r="AS207" s="108"/>
      <c r="AT207" s="249"/>
      <c r="AU207" s="249"/>
      <c r="AV207" s="249"/>
    </row>
    <row r="208" spans="1:48" outlineLevel="1" x14ac:dyDescent="0.25">
      <c r="A208" s="4" t="s">
        <v>1077</v>
      </c>
      <c r="B208" s="75" t="s">
        <v>1078</v>
      </c>
      <c r="C208" s="25"/>
      <c r="D208" s="92"/>
      <c r="E208" s="110"/>
      <c r="F208" s="93"/>
      <c r="G208" s="74"/>
      <c r="H208" s="95"/>
      <c r="I208" s="112"/>
      <c r="J208" s="57"/>
      <c r="K208" s="57"/>
      <c r="L208" s="57"/>
      <c r="M208" s="57"/>
      <c r="N208" s="57"/>
      <c r="O208" s="57"/>
      <c r="P208" s="68"/>
      <c r="Q208" s="58"/>
      <c r="R208" s="93"/>
      <c r="S208" s="74">
        <f t="shared" si="144"/>
        <v>0</v>
      </c>
      <c r="T208" s="95">
        <f t="shared" si="141"/>
        <v>0</v>
      </c>
      <c r="U208" s="112"/>
      <c r="V208" s="57"/>
      <c r="W208" s="57"/>
      <c r="X208" s="57"/>
      <c r="Y208" s="57"/>
      <c r="Z208" s="57"/>
      <c r="AA208" s="57"/>
      <c r="AB208" s="68"/>
      <c r="AC208" s="58"/>
      <c r="AD208" s="170"/>
      <c r="AE208" s="89">
        <f t="shared" si="182"/>
        <v>0</v>
      </c>
      <c r="AF208" s="216">
        <f t="shared" si="183"/>
        <v>0</v>
      </c>
      <c r="AG208" s="147"/>
      <c r="AH208" s="148"/>
      <c r="AI208" s="148"/>
      <c r="AJ208" s="148"/>
      <c r="AK208" s="148"/>
      <c r="AL208" s="148"/>
      <c r="AM208" s="148"/>
      <c r="AN208" s="149"/>
      <c r="AO208" s="150"/>
      <c r="AP208" s="176"/>
      <c r="AQ208" s="176"/>
      <c r="AR208" s="177"/>
      <c r="AS208" s="108"/>
      <c r="AT208" s="249"/>
      <c r="AU208" s="249"/>
      <c r="AV208" s="249"/>
    </row>
    <row r="209" spans="1:48" outlineLevel="1" x14ac:dyDescent="0.25">
      <c r="A209" s="4" t="s">
        <v>1079</v>
      </c>
      <c r="B209" s="75" t="s">
        <v>1080</v>
      </c>
      <c r="C209" s="25"/>
      <c r="D209" s="92"/>
      <c r="E209" s="110"/>
      <c r="F209" s="93"/>
      <c r="G209" s="74"/>
      <c r="H209" s="95"/>
      <c r="I209" s="112"/>
      <c r="J209" s="57"/>
      <c r="K209" s="57"/>
      <c r="L209" s="57"/>
      <c r="M209" s="57"/>
      <c r="N209" s="57"/>
      <c r="O209" s="57"/>
      <c r="P209" s="68"/>
      <c r="Q209" s="58"/>
      <c r="R209" s="93"/>
      <c r="S209" s="74">
        <f t="shared" si="144"/>
        <v>0</v>
      </c>
      <c r="T209" s="95">
        <f t="shared" si="141"/>
        <v>0</v>
      </c>
      <c r="U209" s="112"/>
      <c r="V209" s="57"/>
      <c r="W209" s="57"/>
      <c r="X209" s="57"/>
      <c r="Y209" s="57"/>
      <c r="Z209" s="57"/>
      <c r="AA209" s="57"/>
      <c r="AB209" s="68"/>
      <c r="AC209" s="58"/>
      <c r="AD209" s="170"/>
      <c r="AE209" s="89">
        <f t="shared" si="182"/>
        <v>0</v>
      </c>
      <c r="AF209" s="216">
        <f t="shared" si="183"/>
        <v>0</v>
      </c>
      <c r="AG209" s="147"/>
      <c r="AH209" s="148"/>
      <c r="AI209" s="148"/>
      <c r="AJ209" s="148"/>
      <c r="AK209" s="148"/>
      <c r="AL209" s="148"/>
      <c r="AM209" s="148"/>
      <c r="AN209" s="149"/>
      <c r="AO209" s="150"/>
      <c r="AP209" s="176"/>
      <c r="AQ209" s="176"/>
      <c r="AR209" s="177"/>
      <c r="AS209" s="108"/>
      <c r="AT209" s="249"/>
      <c r="AU209" s="249"/>
      <c r="AV209" s="249"/>
    </row>
    <row r="210" spans="1:48" s="280" customFormat="1" ht="15.75" x14ac:dyDescent="0.25">
      <c r="A210" s="270" t="s">
        <v>201</v>
      </c>
      <c r="B210" s="271" t="s">
        <v>322</v>
      </c>
      <c r="C210" s="272"/>
      <c r="D210" s="273"/>
      <c r="E210" s="274"/>
      <c r="F210" s="264">
        <f>SUM(F211:F213)</f>
        <v>0</v>
      </c>
      <c r="G210" s="265">
        <f t="shared" si="133"/>
        <v>0</v>
      </c>
      <c r="H210" s="275">
        <f t="shared" si="172"/>
        <v>0</v>
      </c>
      <c r="I210" s="267">
        <f t="shared" ref="I210:Q210" si="185">SUM(I211:I213)</f>
        <v>0</v>
      </c>
      <c r="J210" s="268">
        <f t="shared" si="185"/>
        <v>0</v>
      </c>
      <c r="K210" s="268">
        <f t="shared" si="185"/>
        <v>0</v>
      </c>
      <c r="L210" s="268">
        <f t="shared" si="185"/>
        <v>0</v>
      </c>
      <c r="M210" s="268">
        <f t="shared" si="185"/>
        <v>0</v>
      </c>
      <c r="N210" s="268">
        <f t="shared" si="185"/>
        <v>0</v>
      </c>
      <c r="O210" s="268">
        <f t="shared" si="185"/>
        <v>0</v>
      </c>
      <c r="P210" s="268">
        <f t="shared" si="185"/>
        <v>0</v>
      </c>
      <c r="Q210" s="269">
        <f t="shared" si="185"/>
        <v>0</v>
      </c>
      <c r="R210" s="264">
        <f>SUM(R211:R214)</f>
        <v>0</v>
      </c>
      <c r="S210" s="265">
        <f t="shared" ref="S210:S255" si="186">T210-R210</f>
        <v>0</v>
      </c>
      <c r="T210" s="275">
        <f t="shared" ref="T210:T272" si="187">SUM(U210:AC210)</f>
        <v>0</v>
      </c>
      <c r="U210" s="267">
        <f>SUM(U211:U214)</f>
        <v>0</v>
      </c>
      <c r="V210" s="267">
        <f t="shared" ref="V210:AC210" si="188">SUM(V211:V214)</f>
        <v>0</v>
      </c>
      <c r="W210" s="267">
        <f t="shared" si="188"/>
        <v>0</v>
      </c>
      <c r="X210" s="267">
        <f t="shared" si="188"/>
        <v>0</v>
      </c>
      <c r="Y210" s="267">
        <f t="shared" si="188"/>
        <v>0</v>
      </c>
      <c r="Z210" s="267">
        <f t="shared" si="188"/>
        <v>0</v>
      </c>
      <c r="AA210" s="267">
        <f t="shared" si="188"/>
        <v>0</v>
      </c>
      <c r="AB210" s="267">
        <f t="shared" si="188"/>
        <v>0</v>
      </c>
      <c r="AC210" s="267">
        <f t="shared" si="188"/>
        <v>0</v>
      </c>
      <c r="AD210" s="264">
        <f>SUM(AD211:AD214)</f>
        <v>22128.7</v>
      </c>
      <c r="AE210" s="265">
        <f t="shared" si="182"/>
        <v>-22128.7</v>
      </c>
      <c r="AF210" s="266">
        <f t="shared" si="183"/>
        <v>0</v>
      </c>
      <c r="AG210" s="267">
        <f>SUM(AG211:AG214)</f>
        <v>0</v>
      </c>
      <c r="AH210" s="267">
        <f t="shared" ref="AH210:AO210" si="189">SUM(AH211:AH214)</f>
        <v>0</v>
      </c>
      <c r="AI210" s="267">
        <f t="shared" si="189"/>
        <v>0</v>
      </c>
      <c r="AJ210" s="267">
        <f t="shared" si="189"/>
        <v>0</v>
      </c>
      <c r="AK210" s="267">
        <f t="shared" si="189"/>
        <v>0</v>
      </c>
      <c r="AL210" s="267">
        <f t="shared" si="189"/>
        <v>0</v>
      </c>
      <c r="AM210" s="267">
        <f t="shared" si="189"/>
        <v>0</v>
      </c>
      <c r="AN210" s="267">
        <f t="shared" si="189"/>
        <v>0</v>
      </c>
      <c r="AO210" s="267">
        <f t="shared" si="189"/>
        <v>0</v>
      </c>
      <c r="AP210" s="276"/>
      <c r="AQ210" s="276">
        <f>SUM(AQ211:AQ213)</f>
        <v>0</v>
      </c>
      <c r="AR210" s="277"/>
      <c r="AS210" s="278"/>
      <c r="AT210" s="279"/>
      <c r="AU210" s="279"/>
      <c r="AV210" s="279"/>
    </row>
    <row r="211" spans="1:48" outlineLevel="1" x14ac:dyDescent="0.25">
      <c r="A211" s="4" t="s">
        <v>1081</v>
      </c>
      <c r="B211" s="75" t="s">
        <v>323</v>
      </c>
      <c r="C211" s="25"/>
      <c r="D211" s="92"/>
      <c r="E211" s="110"/>
      <c r="F211" s="93">
        <f>D211*E211</f>
        <v>0</v>
      </c>
      <c r="G211" s="74">
        <f t="shared" si="133"/>
        <v>0</v>
      </c>
      <c r="H211" s="95">
        <f t="shared" si="172"/>
        <v>0</v>
      </c>
      <c r="I211" s="112"/>
      <c r="J211" s="57"/>
      <c r="K211" s="57"/>
      <c r="L211" s="57"/>
      <c r="M211" s="57"/>
      <c r="N211" s="57"/>
      <c r="O211" s="57"/>
      <c r="P211" s="68"/>
      <c r="Q211" s="58"/>
      <c r="R211" s="93">
        <f>P211*Q211</f>
        <v>0</v>
      </c>
      <c r="S211" s="74">
        <f t="shared" si="186"/>
        <v>0</v>
      </c>
      <c r="T211" s="95">
        <f t="shared" si="187"/>
        <v>0</v>
      </c>
      <c r="U211" s="112"/>
      <c r="V211" s="57"/>
      <c r="W211" s="57"/>
      <c r="X211" s="57"/>
      <c r="Y211" s="57"/>
      <c r="Z211" s="57"/>
      <c r="AA211" s="57"/>
      <c r="AB211" s="68"/>
      <c r="AC211" s="58"/>
      <c r="AD211" s="242">
        <v>0</v>
      </c>
      <c r="AE211" s="89">
        <f t="shared" si="182"/>
        <v>0</v>
      </c>
      <c r="AF211" s="216">
        <f t="shared" si="183"/>
        <v>0</v>
      </c>
      <c r="AG211" s="147"/>
      <c r="AH211" s="148"/>
      <c r="AI211" s="148"/>
      <c r="AJ211" s="148"/>
      <c r="AK211" s="148"/>
      <c r="AL211" s="148"/>
      <c r="AM211" s="148"/>
      <c r="AN211" s="149"/>
      <c r="AO211" s="150"/>
      <c r="AP211" s="76"/>
      <c r="AQ211" s="76"/>
      <c r="AR211" s="128"/>
      <c r="AS211" s="108"/>
      <c r="AT211" s="249"/>
      <c r="AU211" s="249"/>
      <c r="AV211" s="249"/>
    </row>
    <row r="212" spans="1:48" outlineLevel="1" x14ac:dyDescent="0.25">
      <c r="A212" s="4" t="s">
        <v>1082</v>
      </c>
      <c r="B212" s="75" t="s">
        <v>324</v>
      </c>
      <c r="C212" s="25"/>
      <c r="D212" s="92"/>
      <c r="E212" s="110"/>
      <c r="F212" s="93">
        <f>D212*E212</f>
        <v>0</v>
      </c>
      <c r="G212" s="74">
        <f t="shared" si="133"/>
        <v>0</v>
      </c>
      <c r="H212" s="95">
        <f t="shared" si="172"/>
        <v>0</v>
      </c>
      <c r="I212" s="112"/>
      <c r="J212" s="57"/>
      <c r="K212" s="57"/>
      <c r="L212" s="57"/>
      <c r="M212" s="57"/>
      <c r="N212" s="57"/>
      <c r="O212" s="57"/>
      <c r="P212" s="68"/>
      <c r="Q212" s="58"/>
      <c r="R212" s="93">
        <f>P212*Q212</f>
        <v>0</v>
      </c>
      <c r="S212" s="74">
        <f t="shared" si="186"/>
        <v>0</v>
      </c>
      <c r="T212" s="95">
        <f t="shared" si="187"/>
        <v>0</v>
      </c>
      <c r="U212" s="112"/>
      <c r="V212" s="57"/>
      <c r="W212" s="57"/>
      <c r="X212" s="57"/>
      <c r="Y212" s="57"/>
      <c r="Z212" s="57"/>
      <c r="AA212" s="57"/>
      <c r="AB212" s="68"/>
      <c r="AC212" s="58"/>
      <c r="AD212" s="170">
        <f>P212*Q212</f>
        <v>0</v>
      </c>
      <c r="AE212" s="89">
        <f t="shared" si="182"/>
        <v>0</v>
      </c>
      <c r="AF212" s="216">
        <f t="shared" si="183"/>
        <v>0</v>
      </c>
      <c r="AG212" s="147"/>
      <c r="AH212" s="148"/>
      <c r="AI212" s="148"/>
      <c r="AJ212" s="148"/>
      <c r="AK212" s="148"/>
      <c r="AL212" s="148"/>
      <c r="AM212" s="148"/>
      <c r="AN212" s="149"/>
      <c r="AO212" s="150"/>
      <c r="AP212" s="76"/>
      <c r="AQ212" s="76"/>
      <c r="AR212" s="128"/>
      <c r="AS212" s="108"/>
      <c r="AT212" s="249"/>
      <c r="AU212" s="249"/>
      <c r="AV212" s="249"/>
    </row>
    <row r="213" spans="1:48" outlineLevel="1" x14ac:dyDescent="0.25">
      <c r="A213" s="4" t="s">
        <v>1083</v>
      </c>
      <c r="B213" s="75" t="s">
        <v>1084</v>
      </c>
      <c r="C213" s="25"/>
      <c r="D213" s="92"/>
      <c r="E213" s="110"/>
      <c r="F213" s="93">
        <f>D213*E213</f>
        <v>0</v>
      </c>
      <c r="G213" s="74">
        <f t="shared" si="133"/>
        <v>0</v>
      </c>
      <c r="H213" s="95">
        <f t="shared" si="172"/>
        <v>0</v>
      </c>
      <c r="I213" s="112"/>
      <c r="J213" s="57"/>
      <c r="K213" s="57"/>
      <c r="L213" s="57"/>
      <c r="M213" s="57"/>
      <c r="N213" s="57"/>
      <c r="O213" s="57"/>
      <c r="P213" s="68"/>
      <c r="Q213" s="58"/>
      <c r="R213" s="93">
        <f>P213*Q213</f>
        <v>0</v>
      </c>
      <c r="S213" s="74">
        <f t="shared" si="186"/>
        <v>0</v>
      </c>
      <c r="T213" s="95">
        <f t="shared" si="187"/>
        <v>0</v>
      </c>
      <c r="U213" s="112"/>
      <c r="V213" s="57"/>
      <c r="W213" s="57"/>
      <c r="X213" s="57"/>
      <c r="Y213" s="57"/>
      <c r="Z213" s="57"/>
      <c r="AA213" s="57"/>
      <c r="AB213" s="68"/>
      <c r="AC213" s="58"/>
      <c r="AD213" s="243">
        <v>1646.7</v>
      </c>
      <c r="AE213" s="89">
        <f t="shared" si="182"/>
        <v>-1646.7</v>
      </c>
      <c r="AF213" s="216">
        <f t="shared" si="183"/>
        <v>0</v>
      </c>
      <c r="AG213" s="147"/>
      <c r="AH213" s="148"/>
      <c r="AI213" s="148"/>
      <c r="AJ213" s="148"/>
      <c r="AK213" s="148"/>
      <c r="AL213" s="148"/>
      <c r="AM213" s="148"/>
      <c r="AN213" s="149"/>
      <c r="AO213" s="150"/>
      <c r="AP213" s="76"/>
      <c r="AQ213" s="76"/>
      <c r="AR213" s="128"/>
      <c r="AS213" s="108"/>
      <c r="AT213" s="249"/>
      <c r="AU213" s="249"/>
      <c r="AV213" s="249"/>
    </row>
    <row r="214" spans="1:48" outlineLevel="1" x14ac:dyDescent="0.25">
      <c r="A214" s="4" t="s">
        <v>1085</v>
      </c>
      <c r="B214" s="75" t="s">
        <v>47</v>
      </c>
      <c r="C214" s="25"/>
      <c r="D214" s="92"/>
      <c r="E214" s="110"/>
      <c r="F214" s="93"/>
      <c r="G214" s="74"/>
      <c r="H214" s="95"/>
      <c r="I214" s="112"/>
      <c r="J214" s="57"/>
      <c r="K214" s="57"/>
      <c r="L214" s="57"/>
      <c r="M214" s="57"/>
      <c r="N214" s="57"/>
      <c r="O214" s="57"/>
      <c r="P214" s="68"/>
      <c r="Q214" s="58"/>
      <c r="R214" s="93"/>
      <c r="S214" s="74"/>
      <c r="T214" s="95"/>
      <c r="U214" s="112"/>
      <c r="V214" s="57"/>
      <c r="W214" s="57"/>
      <c r="X214" s="57"/>
      <c r="Y214" s="57"/>
      <c r="Z214" s="57"/>
      <c r="AA214" s="57"/>
      <c r="AB214" s="68"/>
      <c r="AC214" s="58"/>
      <c r="AD214" s="214">
        <v>20482</v>
      </c>
      <c r="AE214" s="89">
        <f t="shared" si="182"/>
        <v>-20482</v>
      </c>
      <c r="AF214" s="216">
        <f t="shared" si="183"/>
        <v>0</v>
      </c>
      <c r="AG214" s="147"/>
      <c r="AH214" s="148"/>
      <c r="AI214" s="148"/>
      <c r="AJ214" s="148"/>
      <c r="AK214" s="148"/>
      <c r="AL214" s="148"/>
      <c r="AM214" s="148"/>
      <c r="AN214" s="149"/>
      <c r="AO214" s="150"/>
      <c r="AP214" s="176"/>
      <c r="AQ214" s="176"/>
      <c r="AR214" s="177"/>
      <c r="AS214" s="108"/>
      <c r="AT214" s="249"/>
      <c r="AU214" s="249"/>
      <c r="AV214" s="249"/>
    </row>
    <row r="215" spans="1:48" s="280" customFormat="1" ht="15.75" x14ac:dyDescent="0.25">
      <c r="A215" s="270" t="s">
        <v>203</v>
      </c>
      <c r="B215" s="271" t="s">
        <v>495</v>
      </c>
      <c r="C215" s="272"/>
      <c r="D215" s="273"/>
      <c r="E215" s="274"/>
      <c r="F215" s="264">
        <f>SUM(F216:F216)</f>
        <v>44200</v>
      </c>
      <c r="G215" s="265">
        <f t="shared" ref="G215:G279" si="190">H215-F215</f>
        <v>0</v>
      </c>
      <c r="H215" s="275">
        <f t="shared" si="172"/>
        <v>44200</v>
      </c>
      <c r="I215" s="267">
        <f t="shared" ref="I215:AO215" si="191">SUM(I216:I216)</f>
        <v>0</v>
      </c>
      <c r="J215" s="268">
        <f t="shared" si="191"/>
        <v>37700</v>
      </c>
      <c r="K215" s="268">
        <f t="shared" si="191"/>
        <v>0</v>
      </c>
      <c r="L215" s="268">
        <f t="shared" si="191"/>
        <v>0</v>
      </c>
      <c r="M215" s="268">
        <f t="shared" si="191"/>
        <v>0</v>
      </c>
      <c r="N215" s="268">
        <f t="shared" si="191"/>
        <v>0</v>
      </c>
      <c r="O215" s="268">
        <f t="shared" si="191"/>
        <v>0</v>
      </c>
      <c r="P215" s="268">
        <f t="shared" si="191"/>
        <v>6500</v>
      </c>
      <c r="Q215" s="269">
        <f t="shared" si="191"/>
        <v>0</v>
      </c>
      <c r="R215" s="264">
        <f>SUM(R216:R216)</f>
        <v>44200</v>
      </c>
      <c r="S215" s="265">
        <f t="shared" si="186"/>
        <v>0</v>
      </c>
      <c r="T215" s="275">
        <f t="shared" si="187"/>
        <v>44200</v>
      </c>
      <c r="U215" s="267">
        <f t="shared" si="191"/>
        <v>0</v>
      </c>
      <c r="V215" s="268">
        <f t="shared" si="191"/>
        <v>37700</v>
      </c>
      <c r="W215" s="268">
        <f t="shared" si="191"/>
        <v>0</v>
      </c>
      <c r="X215" s="268">
        <f t="shared" si="191"/>
        <v>0</v>
      </c>
      <c r="Y215" s="268">
        <f t="shared" si="191"/>
        <v>0</v>
      </c>
      <c r="Z215" s="268">
        <f t="shared" si="191"/>
        <v>0</v>
      </c>
      <c r="AA215" s="268">
        <f t="shared" si="191"/>
        <v>0</v>
      </c>
      <c r="AB215" s="268">
        <f t="shared" si="191"/>
        <v>6500</v>
      </c>
      <c r="AC215" s="269">
        <f t="shared" si="191"/>
        <v>0</v>
      </c>
      <c r="AD215" s="264">
        <f>SUM(AD216:AD216)</f>
        <v>0</v>
      </c>
      <c r="AE215" s="265">
        <f t="shared" si="182"/>
        <v>0</v>
      </c>
      <c r="AF215" s="266">
        <f t="shared" si="183"/>
        <v>0</v>
      </c>
      <c r="AG215" s="267">
        <f t="shared" si="191"/>
        <v>0</v>
      </c>
      <c r="AH215" s="268">
        <f t="shared" si="191"/>
        <v>0</v>
      </c>
      <c r="AI215" s="268">
        <f t="shared" si="191"/>
        <v>0</v>
      </c>
      <c r="AJ215" s="268">
        <f t="shared" si="191"/>
        <v>0</v>
      </c>
      <c r="AK215" s="268">
        <f t="shared" si="191"/>
        <v>0</v>
      </c>
      <c r="AL215" s="268">
        <f t="shared" si="191"/>
        <v>0</v>
      </c>
      <c r="AM215" s="268">
        <f t="shared" si="191"/>
        <v>0</v>
      </c>
      <c r="AN215" s="268">
        <f t="shared" si="191"/>
        <v>0</v>
      </c>
      <c r="AO215" s="269">
        <f t="shared" si="191"/>
        <v>0</v>
      </c>
      <c r="AP215" s="276">
        <v>44200</v>
      </c>
      <c r="AQ215" s="276">
        <v>44200</v>
      </c>
      <c r="AR215" s="277">
        <f>AQ215*100/AP215</f>
        <v>100</v>
      </c>
      <c r="AS215" s="278">
        <f t="shared" si="176"/>
        <v>1</v>
      </c>
      <c r="AT215" s="279">
        <f t="shared" si="177"/>
        <v>1</v>
      </c>
      <c r="AU215" s="279">
        <f t="shared" si="178"/>
        <v>0</v>
      </c>
      <c r="AV215" s="279">
        <f t="shared" si="179"/>
        <v>0</v>
      </c>
    </row>
    <row r="216" spans="1:48" outlineLevel="1" x14ac:dyDescent="0.25">
      <c r="A216" s="4" t="s">
        <v>205</v>
      </c>
      <c r="B216" s="75" t="s">
        <v>495</v>
      </c>
      <c r="C216" s="25" t="s">
        <v>933</v>
      </c>
      <c r="D216" s="92">
        <v>1</v>
      </c>
      <c r="E216" s="110">
        <f>34200+10000</f>
        <v>44200</v>
      </c>
      <c r="F216" s="93">
        <f>D216*E216</f>
        <v>44200</v>
      </c>
      <c r="G216" s="74">
        <f t="shared" si="190"/>
        <v>0</v>
      </c>
      <c r="H216" s="95">
        <f t="shared" si="172"/>
        <v>44200</v>
      </c>
      <c r="I216" s="112"/>
      <c r="J216" s="57">
        <f>44200-6500</f>
        <v>37700</v>
      </c>
      <c r="K216" s="57"/>
      <c r="L216" s="57"/>
      <c r="M216" s="57"/>
      <c r="N216" s="57"/>
      <c r="O216" s="57"/>
      <c r="P216" s="68">
        <v>6500</v>
      </c>
      <c r="Q216" s="58"/>
      <c r="R216" s="93">
        <v>44200</v>
      </c>
      <c r="S216" s="74">
        <f t="shared" si="186"/>
        <v>0</v>
      </c>
      <c r="T216" s="95">
        <f t="shared" si="187"/>
        <v>44200</v>
      </c>
      <c r="U216" s="112"/>
      <c r="V216" s="57">
        <f>44200-6500</f>
        <v>37700</v>
      </c>
      <c r="W216" s="57"/>
      <c r="X216" s="57"/>
      <c r="Y216" s="57"/>
      <c r="Z216" s="57"/>
      <c r="AA216" s="57"/>
      <c r="AB216" s="68">
        <v>6500</v>
      </c>
      <c r="AC216" s="58"/>
      <c r="AD216" s="170">
        <f>P216*Q216</f>
        <v>0</v>
      </c>
      <c r="AE216" s="89">
        <f t="shared" si="182"/>
        <v>0</v>
      </c>
      <c r="AF216" s="216">
        <f t="shared" si="183"/>
        <v>0</v>
      </c>
      <c r="AG216" s="147"/>
      <c r="AH216" s="148"/>
      <c r="AI216" s="148"/>
      <c r="AJ216" s="148"/>
      <c r="AK216" s="148"/>
      <c r="AL216" s="148"/>
      <c r="AM216" s="148"/>
      <c r="AN216" s="149"/>
      <c r="AO216" s="150"/>
      <c r="AP216" s="76"/>
      <c r="AQ216" s="76"/>
      <c r="AR216" s="128"/>
      <c r="AS216" s="108">
        <f t="shared" si="176"/>
        <v>1</v>
      </c>
      <c r="AT216" s="249">
        <f t="shared" si="177"/>
        <v>1</v>
      </c>
      <c r="AU216" s="249">
        <f t="shared" si="178"/>
        <v>0</v>
      </c>
      <c r="AV216" s="249">
        <f t="shared" si="179"/>
        <v>0</v>
      </c>
    </row>
    <row r="217" spans="1:48" s="2" customFormat="1" ht="21" x14ac:dyDescent="0.35">
      <c r="A217" s="8" t="s">
        <v>209</v>
      </c>
      <c r="B217" s="12" t="s">
        <v>588</v>
      </c>
      <c r="C217" s="21"/>
      <c r="D217" s="22"/>
      <c r="E217" s="15"/>
      <c r="F217" s="84">
        <f>F218+F231+F236</f>
        <v>40290</v>
      </c>
      <c r="G217" s="89">
        <f t="shared" si="190"/>
        <v>0</v>
      </c>
      <c r="H217" s="16">
        <f t="shared" si="172"/>
        <v>40290</v>
      </c>
      <c r="I217" s="51">
        <f t="shared" ref="I217:R217" si="192">I218+I231+I236</f>
        <v>0</v>
      </c>
      <c r="J217" s="51">
        <f t="shared" si="192"/>
        <v>16700</v>
      </c>
      <c r="K217" s="51">
        <f t="shared" si="192"/>
        <v>0</v>
      </c>
      <c r="L217" s="51">
        <f t="shared" si="192"/>
        <v>0</v>
      </c>
      <c r="M217" s="51">
        <f t="shared" si="192"/>
        <v>0</v>
      </c>
      <c r="N217" s="51">
        <f t="shared" si="192"/>
        <v>0</v>
      </c>
      <c r="O217" s="51">
        <f t="shared" si="192"/>
        <v>0</v>
      </c>
      <c r="P217" s="51">
        <f t="shared" si="192"/>
        <v>23590</v>
      </c>
      <c r="Q217" s="59">
        <f t="shared" si="192"/>
        <v>0</v>
      </c>
      <c r="R217" s="84">
        <f t="shared" si="192"/>
        <v>40290</v>
      </c>
      <c r="S217" s="89">
        <f t="shared" si="186"/>
        <v>0</v>
      </c>
      <c r="T217" s="16">
        <f t="shared" si="187"/>
        <v>40290</v>
      </c>
      <c r="U217" s="51">
        <f t="shared" ref="U217:AC217" si="193">U218+U231+U236</f>
        <v>0</v>
      </c>
      <c r="V217" s="51">
        <f t="shared" si="193"/>
        <v>16700</v>
      </c>
      <c r="W217" s="51">
        <f t="shared" si="193"/>
        <v>0</v>
      </c>
      <c r="X217" s="51">
        <f t="shared" si="193"/>
        <v>0</v>
      </c>
      <c r="Y217" s="51">
        <f t="shared" si="193"/>
        <v>0</v>
      </c>
      <c r="Z217" s="51">
        <f t="shared" si="193"/>
        <v>0</v>
      </c>
      <c r="AA217" s="51">
        <f t="shared" si="193"/>
        <v>0</v>
      </c>
      <c r="AB217" s="51">
        <f t="shared" si="193"/>
        <v>23590</v>
      </c>
      <c r="AC217" s="59">
        <f t="shared" si="193"/>
        <v>0</v>
      </c>
      <c r="AD217" s="255">
        <f>AD218+AD231+AD236</f>
        <v>8177.630000000001</v>
      </c>
      <c r="AE217" s="256">
        <f t="shared" si="182"/>
        <v>-6965.630000000001</v>
      </c>
      <c r="AF217" s="257">
        <f t="shared" si="183"/>
        <v>1212</v>
      </c>
      <c r="AG217" s="260">
        <f>AG218+AG231+AG236</f>
        <v>0</v>
      </c>
      <c r="AH217" s="262">
        <v>1212</v>
      </c>
      <c r="AI217" s="260">
        <f t="shared" ref="AI217:AO217" si="194">AI218+AI231+AI236</f>
        <v>0</v>
      </c>
      <c r="AJ217" s="260">
        <f t="shared" si="194"/>
        <v>0</v>
      </c>
      <c r="AK217" s="260">
        <f t="shared" si="194"/>
        <v>0</v>
      </c>
      <c r="AL217" s="260">
        <f t="shared" si="194"/>
        <v>0</v>
      </c>
      <c r="AM217" s="260">
        <f t="shared" si="194"/>
        <v>0</v>
      </c>
      <c r="AN217" s="260">
        <f t="shared" si="194"/>
        <v>0</v>
      </c>
      <c r="AO217" s="261">
        <f t="shared" si="194"/>
        <v>0</v>
      </c>
      <c r="AP217" s="32">
        <f>AP218+AP231+AP236</f>
        <v>53900</v>
      </c>
      <c r="AQ217" s="32">
        <f>AQ218+AQ231+AQ236</f>
        <v>36259.17</v>
      </c>
      <c r="AR217" s="126">
        <f>AQ217*100/AP217</f>
        <v>67.271187384044524</v>
      </c>
      <c r="AS217" s="108">
        <f t="shared" si="176"/>
        <v>1</v>
      </c>
      <c r="AT217" s="249">
        <f t="shared" si="177"/>
        <v>1</v>
      </c>
      <c r="AU217" s="249">
        <f t="shared" si="178"/>
        <v>0.2029692231322909</v>
      </c>
      <c r="AV217" s="249">
        <f t="shared" si="179"/>
        <v>3.0081906180193595E-2</v>
      </c>
    </row>
    <row r="218" spans="1:48" s="280" customFormat="1" ht="15.75" x14ac:dyDescent="0.25">
      <c r="A218" s="270" t="s">
        <v>213</v>
      </c>
      <c r="B218" s="271" t="s">
        <v>905</v>
      </c>
      <c r="C218" s="272"/>
      <c r="D218" s="273"/>
      <c r="E218" s="274"/>
      <c r="F218" s="264">
        <f>SUM(F219:F230)</f>
        <v>30800</v>
      </c>
      <c r="G218" s="265">
        <f t="shared" si="190"/>
        <v>0</v>
      </c>
      <c r="H218" s="275">
        <f t="shared" si="172"/>
        <v>30800</v>
      </c>
      <c r="I218" s="267">
        <f t="shared" ref="I218:Q218" si="195">SUM(I219:I230)</f>
        <v>0</v>
      </c>
      <c r="J218" s="268">
        <f t="shared" si="195"/>
        <v>15800</v>
      </c>
      <c r="K218" s="268">
        <f t="shared" si="195"/>
        <v>0</v>
      </c>
      <c r="L218" s="268">
        <f t="shared" si="195"/>
        <v>0</v>
      </c>
      <c r="M218" s="268">
        <f t="shared" si="195"/>
        <v>0</v>
      </c>
      <c r="N218" s="268">
        <f t="shared" si="195"/>
        <v>0</v>
      </c>
      <c r="O218" s="268">
        <f t="shared" si="195"/>
        <v>0</v>
      </c>
      <c r="P218" s="268">
        <f t="shared" si="195"/>
        <v>15000</v>
      </c>
      <c r="Q218" s="269">
        <f t="shared" si="195"/>
        <v>0</v>
      </c>
      <c r="R218" s="264">
        <f>SUM(R219:R230)</f>
        <v>30800</v>
      </c>
      <c r="S218" s="265">
        <f t="shared" si="186"/>
        <v>0</v>
      </c>
      <c r="T218" s="275">
        <f t="shared" si="187"/>
        <v>30800</v>
      </c>
      <c r="U218" s="267">
        <f t="shared" ref="U218:AC218" si="196">SUM(U219:U230)</f>
        <v>0</v>
      </c>
      <c r="V218" s="268">
        <f t="shared" si="196"/>
        <v>15800</v>
      </c>
      <c r="W218" s="268">
        <f t="shared" si="196"/>
        <v>0</v>
      </c>
      <c r="X218" s="268">
        <f t="shared" si="196"/>
        <v>0</v>
      </c>
      <c r="Y218" s="268">
        <f t="shared" si="196"/>
        <v>0</v>
      </c>
      <c r="Z218" s="268">
        <f t="shared" si="196"/>
        <v>0</v>
      </c>
      <c r="AA218" s="268">
        <f t="shared" si="196"/>
        <v>0</v>
      </c>
      <c r="AB218" s="268">
        <f t="shared" si="196"/>
        <v>15000</v>
      </c>
      <c r="AC218" s="269">
        <f t="shared" si="196"/>
        <v>0</v>
      </c>
      <c r="AD218" s="264">
        <f>SUM(AD219:AD230)</f>
        <v>6311.5700000000006</v>
      </c>
      <c r="AE218" s="265">
        <f t="shared" si="182"/>
        <v>-6311.5700000000006</v>
      </c>
      <c r="AF218" s="266">
        <f t="shared" si="183"/>
        <v>0</v>
      </c>
      <c r="AG218" s="267">
        <f t="shared" ref="AG218:AO218" si="197">SUM(AG219:AG230)</f>
        <v>0</v>
      </c>
      <c r="AH218" s="268">
        <f t="shared" si="197"/>
        <v>0</v>
      </c>
      <c r="AI218" s="268">
        <f t="shared" si="197"/>
        <v>0</v>
      </c>
      <c r="AJ218" s="268">
        <f t="shared" si="197"/>
        <v>0</v>
      </c>
      <c r="AK218" s="268">
        <f t="shared" si="197"/>
        <v>0</v>
      </c>
      <c r="AL218" s="268">
        <f t="shared" si="197"/>
        <v>0</v>
      </c>
      <c r="AM218" s="268">
        <f t="shared" si="197"/>
        <v>0</v>
      </c>
      <c r="AN218" s="268">
        <f t="shared" si="197"/>
        <v>0</v>
      </c>
      <c r="AO218" s="269">
        <f t="shared" si="197"/>
        <v>0</v>
      </c>
      <c r="AP218" s="276">
        <v>40000</v>
      </c>
      <c r="AQ218" s="276">
        <f>379.07+585.92+2810.54+450.61+47.6+128.76+697.4+10066.87+356.69+1004.91+3129.3+3306+1204.43+2139.51+397-170+5.4</f>
        <v>26540.010000000002</v>
      </c>
      <c r="AR218" s="277">
        <f>AQ218*100/AP218</f>
        <v>66.350025000000002</v>
      </c>
      <c r="AS218" s="278">
        <f t="shared" si="176"/>
        <v>1</v>
      </c>
      <c r="AT218" s="279">
        <f t="shared" si="177"/>
        <v>1</v>
      </c>
      <c r="AU218" s="279">
        <f t="shared" si="178"/>
        <v>0.20492110389610391</v>
      </c>
      <c r="AV218" s="279">
        <f t="shared" si="179"/>
        <v>0</v>
      </c>
    </row>
    <row r="219" spans="1:48" outlineLevel="1" x14ac:dyDescent="0.25">
      <c r="A219" s="5" t="s">
        <v>214</v>
      </c>
      <c r="B219" s="75" t="s">
        <v>904</v>
      </c>
      <c r="C219" s="25"/>
      <c r="D219" s="92">
        <v>1</v>
      </c>
      <c r="E219" s="110">
        <v>8125</v>
      </c>
      <c r="F219" s="93">
        <f t="shared" ref="F219:F230" si="198">D219*E219</f>
        <v>8125</v>
      </c>
      <c r="G219" s="74">
        <f t="shared" si="190"/>
        <v>0</v>
      </c>
      <c r="H219" s="95">
        <f t="shared" si="172"/>
        <v>8125</v>
      </c>
      <c r="I219" s="112"/>
      <c r="J219" s="57">
        <v>8125</v>
      </c>
      <c r="K219" s="57"/>
      <c r="L219" s="57"/>
      <c r="M219" s="57"/>
      <c r="N219" s="57"/>
      <c r="O219" s="57"/>
      <c r="P219" s="68"/>
      <c r="Q219" s="58"/>
      <c r="R219" s="93">
        <v>8125</v>
      </c>
      <c r="S219" s="74">
        <f t="shared" si="186"/>
        <v>0</v>
      </c>
      <c r="T219" s="95">
        <f t="shared" si="187"/>
        <v>8125</v>
      </c>
      <c r="U219" s="112"/>
      <c r="V219" s="57">
        <v>8125</v>
      </c>
      <c r="W219" s="57"/>
      <c r="X219" s="57"/>
      <c r="Y219" s="57"/>
      <c r="Z219" s="57"/>
      <c r="AA219" s="57"/>
      <c r="AB219" s="68"/>
      <c r="AC219" s="58"/>
      <c r="AD219" s="170">
        <v>58.52</v>
      </c>
      <c r="AE219" s="89">
        <f t="shared" si="182"/>
        <v>-58.52</v>
      </c>
      <c r="AF219" s="216">
        <f t="shared" si="183"/>
        <v>0</v>
      </c>
      <c r="AG219" s="147"/>
      <c r="AH219" s="148"/>
      <c r="AI219" s="148"/>
      <c r="AJ219" s="148"/>
      <c r="AK219" s="148"/>
      <c r="AL219" s="148"/>
      <c r="AM219" s="148"/>
      <c r="AN219" s="149"/>
      <c r="AO219" s="150"/>
      <c r="AP219" s="76"/>
      <c r="AQ219" s="76"/>
      <c r="AR219" s="128"/>
      <c r="AS219" s="108">
        <f t="shared" si="176"/>
        <v>1</v>
      </c>
      <c r="AT219" s="249">
        <f t="shared" si="177"/>
        <v>1</v>
      </c>
      <c r="AU219" s="249">
        <f t="shared" si="178"/>
        <v>7.2024615384615387E-3</v>
      </c>
      <c r="AV219" s="249">
        <f t="shared" si="179"/>
        <v>0</v>
      </c>
    </row>
    <row r="220" spans="1:48" outlineLevel="1" x14ac:dyDescent="0.25">
      <c r="A220" s="4" t="s">
        <v>215</v>
      </c>
      <c r="B220" s="75" t="s">
        <v>909</v>
      </c>
      <c r="C220" s="25"/>
      <c r="D220" s="92">
        <v>1</v>
      </c>
      <c r="E220" s="110">
        <v>2800</v>
      </c>
      <c r="F220" s="93">
        <f t="shared" si="198"/>
        <v>2800</v>
      </c>
      <c r="G220" s="74">
        <f t="shared" si="190"/>
        <v>0</v>
      </c>
      <c r="H220" s="95">
        <f t="shared" si="172"/>
        <v>2800</v>
      </c>
      <c r="I220" s="112"/>
      <c r="J220" s="57">
        <v>2800</v>
      </c>
      <c r="K220" s="57"/>
      <c r="L220" s="57"/>
      <c r="M220" s="57"/>
      <c r="N220" s="57"/>
      <c r="O220" s="57"/>
      <c r="P220" s="68"/>
      <c r="Q220" s="58"/>
      <c r="R220" s="93">
        <v>2800</v>
      </c>
      <c r="S220" s="74">
        <f t="shared" si="186"/>
        <v>0</v>
      </c>
      <c r="T220" s="95">
        <f t="shared" si="187"/>
        <v>2800</v>
      </c>
      <c r="U220" s="112"/>
      <c r="V220" s="57">
        <v>2800</v>
      </c>
      <c r="W220" s="57"/>
      <c r="X220" s="57"/>
      <c r="Y220" s="57"/>
      <c r="Z220" s="57"/>
      <c r="AA220" s="57"/>
      <c r="AB220" s="68"/>
      <c r="AC220" s="58"/>
      <c r="AD220" s="170">
        <v>2704.3</v>
      </c>
      <c r="AE220" s="89">
        <f t="shared" si="182"/>
        <v>-2704.3</v>
      </c>
      <c r="AF220" s="216">
        <f t="shared" si="183"/>
        <v>0</v>
      </c>
      <c r="AG220" s="147"/>
      <c r="AH220" s="148"/>
      <c r="AI220" s="148"/>
      <c r="AJ220" s="148"/>
      <c r="AK220" s="148"/>
      <c r="AL220" s="148"/>
      <c r="AM220" s="148"/>
      <c r="AN220" s="149"/>
      <c r="AO220" s="150"/>
      <c r="AP220" s="76"/>
      <c r="AQ220" s="76"/>
      <c r="AR220" s="128"/>
      <c r="AS220" s="108">
        <f t="shared" si="176"/>
        <v>1</v>
      </c>
      <c r="AT220" s="249">
        <f t="shared" si="177"/>
        <v>1</v>
      </c>
      <c r="AU220" s="249">
        <f t="shared" si="178"/>
        <v>0.96582142857142861</v>
      </c>
      <c r="AV220" s="249">
        <f t="shared" si="179"/>
        <v>0</v>
      </c>
    </row>
    <row r="221" spans="1:48" outlineLevel="1" x14ac:dyDescent="0.25">
      <c r="A221" s="4" t="s">
        <v>216</v>
      </c>
      <c r="B221" s="75" t="s">
        <v>910</v>
      </c>
      <c r="C221" s="25"/>
      <c r="D221" s="92">
        <v>1</v>
      </c>
      <c r="E221" s="110">
        <v>1000</v>
      </c>
      <c r="F221" s="93">
        <f t="shared" si="198"/>
        <v>1000</v>
      </c>
      <c r="G221" s="74">
        <f t="shared" si="190"/>
        <v>0</v>
      </c>
      <c r="H221" s="95">
        <f t="shared" si="172"/>
        <v>1000</v>
      </c>
      <c r="I221" s="112"/>
      <c r="J221" s="57">
        <v>1000</v>
      </c>
      <c r="K221" s="57"/>
      <c r="L221" s="57"/>
      <c r="M221" s="57"/>
      <c r="N221" s="57"/>
      <c r="O221" s="57"/>
      <c r="P221" s="68"/>
      <c r="Q221" s="58"/>
      <c r="R221" s="93">
        <v>1000</v>
      </c>
      <c r="S221" s="74">
        <f t="shared" si="186"/>
        <v>0</v>
      </c>
      <c r="T221" s="95">
        <f t="shared" si="187"/>
        <v>1000</v>
      </c>
      <c r="U221" s="112"/>
      <c r="V221" s="57">
        <v>1000</v>
      </c>
      <c r="W221" s="57"/>
      <c r="X221" s="57"/>
      <c r="Y221" s="57"/>
      <c r="Z221" s="57"/>
      <c r="AA221" s="57"/>
      <c r="AB221" s="68"/>
      <c r="AC221" s="58"/>
      <c r="AD221" s="170">
        <v>503.31</v>
      </c>
      <c r="AE221" s="89">
        <f t="shared" si="182"/>
        <v>-503.31</v>
      </c>
      <c r="AF221" s="216">
        <f t="shared" si="183"/>
        <v>0</v>
      </c>
      <c r="AG221" s="147"/>
      <c r="AH221" s="148"/>
      <c r="AI221" s="148"/>
      <c r="AJ221" s="148"/>
      <c r="AK221" s="148"/>
      <c r="AL221" s="148"/>
      <c r="AM221" s="148"/>
      <c r="AN221" s="149"/>
      <c r="AO221" s="150"/>
      <c r="AP221" s="76"/>
      <c r="AQ221" s="76"/>
      <c r="AR221" s="128"/>
      <c r="AS221" s="108">
        <f t="shared" si="176"/>
        <v>1</v>
      </c>
      <c r="AT221" s="249">
        <f t="shared" si="177"/>
        <v>1</v>
      </c>
      <c r="AU221" s="249">
        <f t="shared" si="178"/>
        <v>0.50331000000000004</v>
      </c>
      <c r="AV221" s="249">
        <f t="shared" si="179"/>
        <v>0</v>
      </c>
    </row>
    <row r="222" spans="1:48" outlineLevel="1" x14ac:dyDescent="0.25">
      <c r="A222" s="4" t="s">
        <v>217</v>
      </c>
      <c r="B222" s="75" t="s">
        <v>911</v>
      </c>
      <c r="C222" s="25"/>
      <c r="D222" s="92">
        <v>1</v>
      </c>
      <c r="E222" s="110">
        <v>1000</v>
      </c>
      <c r="F222" s="93">
        <f t="shared" si="198"/>
        <v>1000</v>
      </c>
      <c r="G222" s="74">
        <f t="shared" si="190"/>
        <v>0</v>
      </c>
      <c r="H222" s="95">
        <f t="shared" si="172"/>
        <v>1000</v>
      </c>
      <c r="I222" s="112"/>
      <c r="J222" s="57">
        <v>1000</v>
      </c>
      <c r="K222" s="57"/>
      <c r="L222" s="57"/>
      <c r="M222" s="57"/>
      <c r="N222" s="57"/>
      <c r="O222" s="57"/>
      <c r="P222" s="68"/>
      <c r="Q222" s="58"/>
      <c r="R222" s="93">
        <v>1000</v>
      </c>
      <c r="S222" s="74">
        <f t="shared" si="186"/>
        <v>0</v>
      </c>
      <c r="T222" s="95">
        <f t="shared" si="187"/>
        <v>1000</v>
      </c>
      <c r="U222" s="112"/>
      <c r="V222" s="57">
        <v>1000</v>
      </c>
      <c r="W222" s="57"/>
      <c r="X222" s="57"/>
      <c r="Y222" s="57"/>
      <c r="Z222" s="57"/>
      <c r="AA222" s="57"/>
      <c r="AB222" s="68"/>
      <c r="AC222" s="58"/>
      <c r="AD222" s="170">
        <v>52.31</v>
      </c>
      <c r="AE222" s="89">
        <f t="shared" si="182"/>
        <v>-52.31</v>
      </c>
      <c r="AF222" s="216">
        <f t="shared" si="183"/>
        <v>0</v>
      </c>
      <c r="AG222" s="147"/>
      <c r="AH222" s="148"/>
      <c r="AI222" s="148"/>
      <c r="AJ222" s="148"/>
      <c r="AK222" s="148"/>
      <c r="AL222" s="148"/>
      <c r="AM222" s="148"/>
      <c r="AN222" s="149"/>
      <c r="AO222" s="150"/>
      <c r="AP222" s="76"/>
      <c r="AQ222" s="76"/>
      <c r="AR222" s="128"/>
      <c r="AS222" s="108">
        <f t="shared" si="176"/>
        <v>1</v>
      </c>
      <c r="AT222" s="249">
        <f t="shared" si="177"/>
        <v>1</v>
      </c>
      <c r="AU222" s="249">
        <f t="shared" si="178"/>
        <v>5.2310000000000002E-2</v>
      </c>
      <c r="AV222" s="249">
        <f t="shared" si="179"/>
        <v>0</v>
      </c>
    </row>
    <row r="223" spans="1:48" outlineLevel="1" x14ac:dyDescent="0.25">
      <c r="A223" s="4" t="s">
        <v>218</v>
      </c>
      <c r="B223" s="75" t="s">
        <v>915</v>
      </c>
      <c r="C223" s="25"/>
      <c r="D223" s="92">
        <v>1</v>
      </c>
      <c r="E223" s="110">
        <v>100</v>
      </c>
      <c r="F223" s="93">
        <f t="shared" si="198"/>
        <v>100</v>
      </c>
      <c r="G223" s="74">
        <f t="shared" si="190"/>
        <v>0</v>
      </c>
      <c r="H223" s="95">
        <f t="shared" si="172"/>
        <v>100</v>
      </c>
      <c r="I223" s="112"/>
      <c r="J223" s="57">
        <v>100</v>
      </c>
      <c r="K223" s="57"/>
      <c r="L223" s="57"/>
      <c r="M223" s="57"/>
      <c r="N223" s="57"/>
      <c r="O223" s="57"/>
      <c r="P223" s="68"/>
      <c r="Q223" s="58"/>
      <c r="R223" s="93">
        <v>100</v>
      </c>
      <c r="S223" s="74">
        <f t="shared" si="186"/>
        <v>0</v>
      </c>
      <c r="T223" s="95">
        <f t="shared" si="187"/>
        <v>100</v>
      </c>
      <c r="U223" s="112"/>
      <c r="V223" s="57">
        <v>100</v>
      </c>
      <c r="W223" s="57"/>
      <c r="X223" s="57"/>
      <c r="Y223" s="57"/>
      <c r="Z223" s="57"/>
      <c r="AA223" s="57"/>
      <c r="AB223" s="68"/>
      <c r="AC223" s="58"/>
      <c r="AD223" s="170">
        <v>45.19</v>
      </c>
      <c r="AE223" s="89">
        <f t="shared" si="182"/>
        <v>-45.19</v>
      </c>
      <c r="AF223" s="216">
        <f t="shared" si="183"/>
        <v>0</v>
      </c>
      <c r="AG223" s="147"/>
      <c r="AH223" s="148"/>
      <c r="AI223" s="148"/>
      <c r="AJ223" s="148"/>
      <c r="AK223" s="148"/>
      <c r="AL223" s="148"/>
      <c r="AM223" s="148"/>
      <c r="AN223" s="149"/>
      <c r="AO223" s="150"/>
      <c r="AP223" s="76"/>
      <c r="AQ223" s="76"/>
      <c r="AR223" s="128"/>
      <c r="AS223" s="108">
        <f t="shared" si="176"/>
        <v>1</v>
      </c>
      <c r="AT223" s="249">
        <f t="shared" si="177"/>
        <v>1</v>
      </c>
      <c r="AU223" s="249">
        <f t="shared" si="178"/>
        <v>0.45189999999999997</v>
      </c>
      <c r="AV223" s="249">
        <f t="shared" si="179"/>
        <v>0</v>
      </c>
    </row>
    <row r="224" spans="1:48" outlineLevel="1" x14ac:dyDescent="0.25">
      <c r="A224" s="4" t="s">
        <v>916</v>
      </c>
      <c r="B224" s="75" t="s">
        <v>954</v>
      </c>
      <c r="C224" s="25"/>
      <c r="D224" s="92">
        <v>1</v>
      </c>
      <c r="E224" s="110">
        <f>300+75+100</f>
        <v>475</v>
      </c>
      <c r="F224" s="93">
        <f t="shared" si="198"/>
        <v>475</v>
      </c>
      <c r="G224" s="74">
        <f t="shared" si="190"/>
        <v>0</v>
      </c>
      <c r="H224" s="95">
        <f t="shared" si="172"/>
        <v>475</v>
      </c>
      <c r="I224" s="112"/>
      <c r="J224" s="57">
        <v>475</v>
      </c>
      <c r="K224" s="57"/>
      <c r="L224" s="57"/>
      <c r="M224" s="57"/>
      <c r="N224" s="57"/>
      <c r="O224" s="57"/>
      <c r="P224" s="68"/>
      <c r="Q224" s="58"/>
      <c r="R224" s="93">
        <v>475</v>
      </c>
      <c r="S224" s="74">
        <f t="shared" si="186"/>
        <v>0</v>
      </c>
      <c r="T224" s="95">
        <f t="shared" si="187"/>
        <v>475</v>
      </c>
      <c r="U224" s="112"/>
      <c r="V224" s="57">
        <v>475</v>
      </c>
      <c r="W224" s="57"/>
      <c r="X224" s="57"/>
      <c r="Y224" s="57"/>
      <c r="Z224" s="57"/>
      <c r="AA224" s="57"/>
      <c r="AB224" s="68"/>
      <c r="AC224" s="58"/>
      <c r="AD224" s="170">
        <v>689.86</v>
      </c>
      <c r="AE224" s="89">
        <f t="shared" si="182"/>
        <v>-689.86</v>
      </c>
      <c r="AF224" s="216">
        <f t="shared" si="183"/>
        <v>0</v>
      </c>
      <c r="AG224" s="147"/>
      <c r="AH224" s="148"/>
      <c r="AI224" s="148"/>
      <c r="AJ224" s="148"/>
      <c r="AK224" s="148"/>
      <c r="AL224" s="148"/>
      <c r="AM224" s="148"/>
      <c r="AN224" s="149"/>
      <c r="AO224" s="150"/>
      <c r="AP224" s="76"/>
      <c r="AQ224" s="76"/>
      <c r="AR224" s="128"/>
      <c r="AS224" s="108">
        <f t="shared" si="176"/>
        <v>1</v>
      </c>
      <c r="AT224" s="249">
        <f t="shared" si="177"/>
        <v>1</v>
      </c>
      <c r="AU224" s="249">
        <f t="shared" si="178"/>
        <v>1.4523368421052631</v>
      </c>
      <c r="AV224" s="249">
        <f t="shared" si="179"/>
        <v>0</v>
      </c>
    </row>
    <row r="225" spans="1:48" outlineLevel="1" x14ac:dyDescent="0.25">
      <c r="A225" s="4" t="s">
        <v>917</v>
      </c>
      <c r="B225" s="75" t="s">
        <v>914</v>
      </c>
      <c r="C225" s="25"/>
      <c r="D225" s="92">
        <v>1</v>
      </c>
      <c r="E225" s="110">
        <v>500</v>
      </c>
      <c r="F225" s="93">
        <f t="shared" si="198"/>
        <v>500</v>
      </c>
      <c r="G225" s="74">
        <f t="shared" si="190"/>
        <v>0</v>
      </c>
      <c r="H225" s="95">
        <f t="shared" si="172"/>
        <v>500</v>
      </c>
      <c r="I225" s="112"/>
      <c r="J225" s="57">
        <v>500</v>
      </c>
      <c r="K225" s="57"/>
      <c r="L225" s="57"/>
      <c r="M225" s="57"/>
      <c r="N225" s="57"/>
      <c r="O225" s="57"/>
      <c r="P225" s="68"/>
      <c r="Q225" s="58"/>
      <c r="R225" s="93">
        <v>500</v>
      </c>
      <c r="S225" s="74">
        <f t="shared" si="186"/>
        <v>0</v>
      </c>
      <c r="T225" s="95">
        <f t="shared" si="187"/>
        <v>500</v>
      </c>
      <c r="U225" s="112"/>
      <c r="V225" s="57">
        <v>500</v>
      </c>
      <c r="W225" s="57"/>
      <c r="X225" s="57"/>
      <c r="Y225" s="57"/>
      <c r="Z225" s="57"/>
      <c r="AA225" s="57"/>
      <c r="AB225" s="68"/>
      <c r="AC225" s="58"/>
      <c r="AD225" s="170">
        <v>95.04</v>
      </c>
      <c r="AE225" s="89">
        <f t="shared" si="182"/>
        <v>-95.04</v>
      </c>
      <c r="AF225" s="216">
        <f t="shared" si="183"/>
        <v>0</v>
      </c>
      <c r="AG225" s="147"/>
      <c r="AH225" s="148"/>
      <c r="AI225" s="148"/>
      <c r="AJ225" s="148"/>
      <c r="AK225" s="148"/>
      <c r="AL225" s="148"/>
      <c r="AM225" s="148"/>
      <c r="AN225" s="149"/>
      <c r="AO225" s="150"/>
      <c r="AP225" s="76"/>
      <c r="AQ225" s="76"/>
      <c r="AR225" s="128"/>
      <c r="AS225" s="108">
        <f t="shared" si="176"/>
        <v>1</v>
      </c>
      <c r="AT225" s="249">
        <f t="shared" si="177"/>
        <v>1</v>
      </c>
      <c r="AU225" s="249">
        <f t="shared" si="178"/>
        <v>0.19008</v>
      </c>
      <c r="AV225" s="249">
        <f t="shared" si="179"/>
        <v>0</v>
      </c>
    </row>
    <row r="226" spans="1:48" outlineLevel="1" x14ac:dyDescent="0.25">
      <c r="A226" s="4" t="s">
        <v>918</v>
      </c>
      <c r="B226" s="75" t="s">
        <v>912</v>
      </c>
      <c r="C226" s="25"/>
      <c r="D226" s="92">
        <v>1</v>
      </c>
      <c r="E226" s="110">
        <v>800</v>
      </c>
      <c r="F226" s="93">
        <f t="shared" si="198"/>
        <v>800</v>
      </c>
      <c r="G226" s="74">
        <f t="shared" si="190"/>
        <v>0</v>
      </c>
      <c r="H226" s="95">
        <f t="shared" si="172"/>
        <v>800</v>
      </c>
      <c r="I226" s="112"/>
      <c r="J226" s="57">
        <v>800</v>
      </c>
      <c r="K226" s="57"/>
      <c r="L226" s="57"/>
      <c r="M226" s="57"/>
      <c r="N226" s="57"/>
      <c r="O226" s="57"/>
      <c r="P226" s="68"/>
      <c r="Q226" s="58"/>
      <c r="R226" s="93">
        <v>800</v>
      </c>
      <c r="S226" s="74">
        <f t="shared" si="186"/>
        <v>0</v>
      </c>
      <c r="T226" s="95">
        <f t="shared" si="187"/>
        <v>800</v>
      </c>
      <c r="U226" s="112"/>
      <c r="V226" s="57">
        <v>800</v>
      </c>
      <c r="W226" s="57"/>
      <c r="X226" s="57"/>
      <c r="Y226" s="57"/>
      <c r="Z226" s="57"/>
      <c r="AA226" s="57"/>
      <c r="AB226" s="68"/>
      <c r="AC226" s="58"/>
      <c r="AD226" s="170">
        <v>572.53</v>
      </c>
      <c r="AE226" s="89">
        <f t="shared" si="182"/>
        <v>-572.53</v>
      </c>
      <c r="AF226" s="216">
        <f t="shared" si="183"/>
        <v>0</v>
      </c>
      <c r="AG226" s="147"/>
      <c r="AH226" s="148"/>
      <c r="AI226" s="148"/>
      <c r="AJ226" s="148"/>
      <c r="AK226" s="148"/>
      <c r="AL226" s="148"/>
      <c r="AM226" s="148"/>
      <c r="AN226" s="149"/>
      <c r="AO226" s="150"/>
      <c r="AP226" s="76"/>
      <c r="AQ226" s="76"/>
      <c r="AR226" s="128"/>
      <c r="AS226" s="108">
        <f t="shared" si="176"/>
        <v>1</v>
      </c>
      <c r="AT226" s="249">
        <f t="shared" si="177"/>
        <v>1</v>
      </c>
      <c r="AU226" s="249">
        <f t="shared" si="178"/>
        <v>0.71566249999999998</v>
      </c>
      <c r="AV226" s="249">
        <f t="shared" si="179"/>
        <v>0</v>
      </c>
    </row>
    <row r="227" spans="1:48" outlineLevel="1" x14ac:dyDescent="0.25">
      <c r="A227" s="4" t="s">
        <v>919</v>
      </c>
      <c r="B227" s="75" t="s">
        <v>906</v>
      </c>
      <c r="C227" s="25"/>
      <c r="D227" s="92">
        <v>1</v>
      </c>
      <c r="E227" s="110">
        <v>8000</v>
      </c>
      <c r="F227" s="93">
        <f t="shared" si="198"/>
        <v>8000</v>
      </c>
      <c r="G227" s="74">
        <f t="shared" si="190"/>
        <v>0</v>
      </c>
      <c r="H227" s="95">
        <f t="shared" si="172"/>
        <v>8000</v>
      </c>
      <c r="I227" s="112"/>
      <c r="J227" s="57"/>
      <c r="K227" s="57"/>
      <c r="L227" s="57"/>
      <c r="M227" s="57"/>
      <c r="N227" s="57"/>
      <c r="O227" s="57"/>
      <c r="P227" s="68">
        <v>8000</v>
      </c>
      <c r="Q227" s="58"/>
      <c r="R227" s="93">
        <v>8000</v>
      </c>
      <c r="S227" s="74">
        <f t="shared" si="186"/>
        <v>0</v>
      </c>
      <c r="T227" s="95">
        <f t="shared" si="187"/>
        <v>8000</v>
      </c>
      <c r="U227" s="112"/>
      <c r="V227" s="57"/>
      <c r="W227" s="57"/>
      <c r="X227" s="57"/>
      <c r="Y227" s="57"/>
      <c r="Z227" s="57"/>
      <c r="AA227" s="57"/>
      <c r="AB227" s="68">
        <v>8000</v>
      </c>
      <c r="AC227" s="58"/>
      <c r="AD227" s="170">
        <f>P227*Q227</f>
        <v>0</v>
      </c>
      <c r="AE227" s="89">
        <f t="shared" si="182"/>
        <v>0</v>
      </c>
      <c r="AF227" s="216">
        <f t="shared" si="183"/>
        <v>0</v>
      </c>
      <c r="AG227" s="147"/>
      <c r="AH227" s="148"/>
      <c r="AI227" s="148"/>
      <c r="AJ227" s="148"/>
      <c r="AK227" s="148"/>
      <c r="AL227" s="148"/>
      <c r="AM227" s="148"/>
      <c r="AN227" s="149"/>
      <c r="AO227" s="150"/>
      <c r="AP227" s="76"/>
      <c r="AQ227" s="76"/>
      <c r="AR227" s="128"/>
      <c r="AS227" s="108">
        <f t="shared" si="176"/>
        <v>1</v>
      </c>
      <c r="AT227" s="249">
        <f t="shared" si="177"/>
        <v>1</v>
      </c>
      <c r="AU227" s="249">
        <f t="shared" si="178"/>
        <v>0</v>
      </c>
      <c r="AV227" s="249">
        <f t="shared" si="179"/>
        <v>0</v>
      </c>
    </row>
    <row r="228" spans="1:48" outlineLevel="1" x14ac:dyDescent="0.25">
      <c r="A228" s="4" t="s">
        <v>920</v>
      </c>
      <c r="B228" s="75" t="s">
        <v>907</v>
      </c>
      <c r="C228" s="25"/>
      <c r="D228" s="92">
        <v>1</v>
      </c>
      <c r="E228" s="110">
        <v>3500</v>
      </c>
      <c r="F228" s="93">
        <f t="shared" si="198"/>
        <v>3500</v>
      </c>
      <c r="G228" s="74">
        <f t="shared" si="190"/>
        <v>0</v>
      </c>
      <c r="H228" s="95">
        <f t="shared" si="172"/>
        <v>3500</v>
      </c>
      <c r="I228" s="112"/>
      <c r="J228" s="57"/>
      <c r="K228" s="57"/>
      <c r="L228" s="57"/>
      <c r="M228" s="57"/>
      <c r="N228" s="57"/>
      <c r="O228" s="57"/>
      <c r="P228" s="68">
        <v>3500</v>
      </c>
      <c r="Q228" s="58"/>
      <c r="R228" s="93">
        <v>3500</v>
      </c>
      <c r="S228" s="74">
        <f t="shared" si="186"/>
        <v>0</v>
      </c>
      <c r="T228" s="95">
        <f t="shared" si="187"/>
        <v>3500</v>
      </c>
      <c r="U228" s="112"/>
      <c r="V228" s="57"/>
      <c r="W228" s="57"/>
      <c r="X228" s="57"/>
      <c r="Y228" s="57"/>
      <c r="Z228" s="57"/>
      <c r="AA228" s="57"/>
      <c r="AB228" s="68">
        <v>3500</v>
      </c>
      <c r="AC228" s="58"/>
      <c r="AD228" s="170">
        <f>P228*Q228</f>
        <v>0</v>
      </c>
      <c r="AE228" s="89">
        <f t="shared" si="182"/>
        <v>0</v>
      </c>
      <c r="AF228" s="216">
        <f t="shared" si="183"/>
        <v>0</v>
      </c>
      <c r="AG228" s="147"/>
      <c r="AH228" s="148"/>
      <c r="AI228" s="148"/>
      <c r="AJ228" s="148"/>
      <c r="AK228" s="148"/>
      <c r="AL228" s="148"/>
      <c r="AM228" s="148"/>
      <c r="AN228" s="149"/>
      <c r="AO228" s="150"/>
      <c r="AP228" s="76"/>
      <c r="AQ228" s="76"/>
      <c r="AR228" s="128"/>
      <c r="AS228" s="108">
        <f t="shared" si="176"/>
        <v>1</v>
      </c>
      <c r="AT228" s="249">
        <f t="shared" si="177"/>
        <v>1</v>
      </c>
      <c r="AU228" s="249">
        <f t="shared" si="178"/>
        <v>0</v>
      </c>
      <c r="AV228" s="249">
        <f t="shared" si="179"/>
        <v>0</v>
      </c>
    </row>
    <row r="229" spans="1:48" outlineLevel="1" x14ac:dyDescent="0.25">
      <c r="A229" s="4" t="s">
        <v>921</v>
      </c>
      <c r="B229" s="75" t="s">
        <v>908</v>
      </c>
      <c r="C229" s="25"/>
      <c r="D229" s="92">
        <v>1</v>
      </c>
      <c r="E229" s="110">
        <v>3500</v>
      </c>
      <c r="F229" s="93">
        <f t="shared" si="198"/>
        <v>3500</v>
      </c>
      <c r="G229" s="74">
        <f t="shared" si="190"/>
        <v>0</v>
      </c>
      <c r="H229" s="95">
        <f t="shared" si="172"/>
        <v>3500</v>
      </c>
      <c r="I229" s="112"/>
      <c r="J229" s="57"/>
      <c r="K229" s="57"/>
      <c r="L229" s="57"/>
      <c r="M229" s="57"/>
      <c r="N229" s="57"/>
      <c r="O229" s="57"/>
      <c r="P229" s="68">
        <v>3500</v>
      </c>
      <c r="Q229" s="58"/>
      <c r="R229" s="93">
        <v>3500</v>
      </c>
      <c r="S229" s="74">
        <f t="shared" si="186"/>
        <v>0</v>
      </c>
      <c r="T229" s="95">
        <f t="shared" si="187"/>
        <v>3500</v>
      </c>
      <c r="U229" s="112"/>
      <c r="V229" s="57"/>
      <c r="W229" s="57"/>
      <c r="X229" s="57"/>
      <c r="Y229" s="57"/>
      <c r="Z229" s="57"/>
      <c r="AA229" s="57"/>
      <c r="AB229" s="68">
        <v>3500</v>
      </c>
      <c r="AC229" s="58"/>
      <c r="AD229" s="170">
        <v>1402</v>
      </c>
      <c r="AE229" s="89">
        <f t="shared" si="182"/>
        <v>-1402</v>
      </c>
      <c r="AF229" s="216">
        <f t="shared" si="183"/>
        <v>0</v>
      </c>
      <c r="AG229" s="147"/>
      <c r="AH229" s="148"/>
      <c r="AI229" s="148"/>
      <c r="AJ229" s="148"/>
      <c r="AK229" s="148"/>
      <c r="AL229" s="148"/>
      <c r="AM229" s="148"/>
      <c r="AN229" s="149"/>
      <c r="AO229" s="150"/>
      <c r="AP229" s="76"/>
      <c r="AQ229" s="76"/>
      <c r="AR229" s="128"/>
      <c r="AS229" s="108">
        <f t="shared" si="176"/>
        <v>1</v>
      </c>
      <c r="AT229" s="249">
        <f t="shared" si="177"/>
        <v>1</v>
      </c>
      <c r="AU229" s="249">
        <f t="shared" si="178"/>
        <v>0.40057142857142858</v>
      </c>
      <c r="AV229" s="249">
        <f t="shared" si="179"/>
        <v>0</v>
      </c>
    </row>
    <row r="230" spans="1:48" outlineLevel="1" x14ac:dyDescent="0.25">
      <c r="A230" s="4" t="s">
        <v>1086</v>
      </c>
      <c r="B230" s="75" t="s">
        <v>47</v>
      </c>
      <c r="C230" s="25"/>
      <c r="D230" s="92">
        <v>1</v>
      </c>
      <c r="E230" s="110">
        <v>1000</v>
      </c>
      <c r="F230" s="93">
        <f t="shared" si="198"/>
        <v>1000</v>
      </c>
      <c r="G230" s="74">
        <f t="shared" si="190"/>
        <v>0</v>
      </c>
      <c r="H230" s="95">
        <f t="shared" si="172"/>
        <v>1000</v>
      </c>
      <c r="I230" s="112"/>
      <c r="J230" s="57">
        <v>1000</v>
      </c>
      <c r="K230" s="57"/>
      <c r="L230" s="57"/>
      <c r="M230" s="57"/>
      <c r="N230" s="57"/>
      <c r="O230" s="57"/>
      <c r="P230" s="68"/>
      <c r="Q230" s="58"/>
      <c r="R230" s="93">
        <v>1000</v>
      </c>
      <c r="S230" s="74">
        <f t="shared" si="186"/>
        <v>0</v>
      </c>
      <c r="T230" s="95">
        <f t="shared" si="187"/>
        <v>1000</v>
      </c>
      <c r="U230" s="112"/>
      <c r="V230" s="57">
        <v>1000</v>
      </c>
      <c r="W230" s="57"/>
      <c r="X230" s="57"/>
      <c r="Y230" s="57"/>
      <c r="Z230" s="57"/>
      <c r="AA230" s="57"/>
      <c r="AB230" s="68"/>
      <c r="AC230" s="58"/>
      <c r="AD230" s="170">
        <v>188.51</v>
      </c>
      <c r="AE230" s="89">
        <f t="shared" si="182"/>
        <v>-188.51</v>
      </c>
      <c r="AF230" s="216">
        <f t="shared" si="183"/>
        <v>0</v>
      </c>
      <c r="AG230" s="147"/>
      <c r="AH230" s="148"/>
      <c r="AI230" s="148"/>
      <c r="AJ230" s="148"/>
      <c r="AK230" s="148"/>
      <c r="AL230" s="148"/>
      <c r="AM230" s="148"/>
      <c r="AN230" s="149"/>
      <c r="AO230" s="150"/>
      <c r="AP230" s="76"/>
      <c r="AQ230" s="76"/>
      <c r="AR230" s="128"/>
      <c r="AS230" s="108">
        <f t="shared" si="176"/>
        <v>1</v>
      </c>
      <c r="AT230" s="249">
        <f t="shared" si="177"/>
        <v>1</v>
      </c>
      <c r="AU230" s="249">
        <f t="shared" si="178"/>
        <v>0.18850999999999998</v>
      </c>
      <c r="AV230" s="249">
        <f t="shared" si="179"/>
        <v>0</v>
      </c>
    </row>
    <row r="231" spans="1:48" s="280" customFormat="1" ht="15.75" x14ac:dyDescent="0.25">
      <c r="A231" s="270" t="s">
        <v>219</v>
      </c>
      <c r="B231" s="271" t="s">
        <v>695</v>
      </c>
      <c r="C231" s="272"/>
      <c r="D231" s="273"/>
      <c r="E231" s="274"/>
      <c r="F231" s="264">
        <f>SUM(F232:F235)</f>
        <v>5590</v>
      </c>
      <c r="G231" s="265">
        <f t="shared" si="190"/>
        <v>0</v>
      </c>
      <c r="H231" s="275">
        <f t="shared" si="172"/>
        <v>5590</v>
      </c>
      <c r="I231" s="267">
        <f t="shared" ref="I231:Q231" si="199">SUM(I232:I235)</f>
        <v>0</v>
      </c>
      <c r="J231" s="268">
        <f t="shared" si="199"/>
        <v>900</v>
      </c>
      <c r="K231" s="268">
        <f t="shared" si="199"/>
        <v>0</v>
      </c>
      <c r="L231" s="268">
        <f t="shared" si="199"/>
        <v>0</v>
      </c>
      <c r="M231" s="268">
        <f t="shared" si="199"/>
        <v>0</v>
      </c>
      <c r="N231" s="268">
        <f t="shared" si="199"/>
        <v>0</v>
      </c>
      <c r="O231" s="268">
        <f t="shared" si="199"/>
        <v>0</v>
      </c>
      <c r="P231" s="268">
        <f t="shared" si="199"/>
        <v>4690</v>
      </c>
      <c r="Q231" s="269">
        <f t="shared" si="199"/>
        <v>0</v>
      </c>
      <c r="R231" s="264">
        <f>SUM(R232:R235)</f>
        <v>5590</v>
      </c>
      <c r="S231" s="265">
        <f t="shared" si="186"/>
        <v>0</v>
      </c>
      <c r="T231" s="275">
        <f t="shared" si="187"/>
        <v>5590</v>
      </c>
      <c r="U231" s="267">
        <f t="shared" ref="U231:AC231" si="200">SUM(U232:U235)</f>
        <v>0</v>
      </c>
      <c r="V231" s="268">
        <f t="shared" si="200"/>
        <v>900</v>
      </c>
      <c r="W231" s="268">
        <f t="shared" si="200"/>
        <v>0</v>
      </c>
      <c r="X231" s="268">
        <f t="shared" si="200"/>
        <v>0</v>
      </c>
      <c r="Y231" s="268">
        <f t="shared" si="200"/>
        <v>0</v>
      </c>
      <c r="Z231" s="268">
        <f t="shared" si="200"/>
        <v>0</v>
      </c>
      <c r="AA231" s="268">
        <f t="shared" si="200"/>
        <v>0</v>
      </c>
      <c r="AB231" s="268">
        <f t="shared" si="200"/>
        <v>4690</v>
      </c>
      <c r="AC231" s="269">
        <f t="shared" si="200"/>
        <v>0</v>
      </c>
      <c r="AD231" s="264">
        <f>SUM(AD232:AD235)</f>
        <v>1866.0600000000002</v>
      </c>
      <c r="AE231" s="265">
        <f t="shared" si="182"/>
        <v>-1866.0600000000002</v>
      </c>
      <c r="AF231" s="266">
        <f t="shared" si="183"/>
        <v>0</v>
      </c>
      <c r="AG231" s="267">
        <f t="shared" ref="AG231:AO231" si="201">SUM(AG232:AG235)</f>
        <v>0</v>
      </c>
      <c r="AH231" s="268">
        <f t="shared" si="201"/>
        <v>0</v>
      </c>
      <c r="AI231" s="268">
        <f t="shared" si="201"/>
        <v>0</v>
      </c>
      <c r="AJ231" s="268">
        <f t="shared" si="201"/>
        <v>0</v>
      </c>
      <c r="AK231" s="268">
        <f t="shared" si="201"/>
        <v>0</v>
      </c>
      <c r="AL231" s="268">
        <f t="shared" si="201"/>
        <v>0</v>
      </c>
      <c r="AM231" s="268">
        <f t="shared" si="201"/>
        <v>0</v>
      </c>
      <c r="AN231" s="268">
        <f t="shared" si="201"/>
        <v>0</v>
      </c>
      <c r="AO231" s="269">
        <f t="shared" si="201"/>
        <v>0</v>
      </c>
      <c r="AP231" s="276">
        <v>10000</v>
      </c>
      <c r="AQ231" s="276">
        <f>3332.23+32+252.53+504.02+1025.03+35.02+1004.91+133.42-500</f>
        <v>5819.1600000000008</v>
      </c>
      <c r="AR231" s="277">
        <f>AQ231*100/AP231</f>
        <v>58.191600000000008</v>
      </c>
      <c r="AS231" s="278">
        <f t="shared" si="176"/>
        <v>1</v>
      </c>
      <c r="AT231" s="279">
        <f t="shared" si="177"/>
        <v>1</v>
      </c>
      <c r="AU231" s="279">
        <f t="shared" si="178"/>
        <v>0.33382110912343471</v>
      </c>
      <c r="AV231" s="279">
        <f t="shared" si="179"/>
        <v>0</v>
      </c>
    </row>
    <row r="232" spans="1:48" outlineLevel="1" x14ac:dyDescent="0.25">
      <c r="A232" s="4" t="s">
        <v>220</v>
      </c>
      <c r="B232" s="75" t="s">
        <v>965</v>
      </c>
      <c r="C232" s="25"/>
      <c r="D232" s="92">
        <v>1</v>
      </c>
      <c r="E232" s="110">
        <v>700</v>
      </c>
      <c r="F232" s="93">
        <f>D232*E232</f>
        <v>700</v>
      </c>
      <c r="G232" s="74">
        <f t="shared" si="190"/>
        <v>0</v>
      </c>
      <c r="H232" s="95">
        <f t="shared" si="172"/>
        <v>700</v>
      </c>
      <c r="I232" s="112"/>
      <c r="J232" s="57">
        <v>700</v>
      </c>
      <c r="K232" s="57"/>
      <c r="L232" s="57"/>
      <c r="M232" s="57"/>
      <c r="N232" s="57"/>
      <c r="O232" s="57"/>
      <c r="P232" s="68"/>
      <c r="Q232" s="58"/>
      <c r="R232" s="93">
        <v>700</v>
      </c>
      <c r="S232" s="74">
        <f t="shared" si="186"/>
        <v>0</v>
      </c>
      <c r="T232" s="95">
        <f t="shared" si="187"/>
        <v>700</v>
      </c>
      <c r="U232" s="112"/>
      <c r="V232" s="57">
        <v>700</v>
      </c>
      <c r="W232" s="57"/>
      <c r="X232" s="57"/>
      <c r="Y232" s="57"/>
      <c r="Z232" s="57"/>
      <c r="AA232" s="57"/>
      <c r="AB232" s="68"/>
      <c r="AC232" s="58"/>
      <c r="AD232" s="170">
        <f>P232*Q232</f>
        <v>0</v>
      </c>
      <c r="AE232" s="89">
        <f t="shared" si="182"/>
        <v>0</v>
      </c>
      <c r="AF232" s="216">
        <f t="shared" si="183"/>
        <v>0</v>
      </c>
      <c r="AG232" s="147"/>
      <c r="AH232" s="148"/>
      <c r="AI232" s="148"/>
      <c r="AJ232" s="148"/>
      <c r="AK232" s="148"/>
      <c r="AL232" s="148"/>
      <c r="AM232" s="148"/>
      <c r="AN232" s="149"/>
      <c r="AO232" s="150"/>
      <c r="AP232" s="76"/>
      <c r="AQ232" s="76"/>
      <c r="AR232" s="128"/>
      <c r="AS232" s="108">
        <f t="shared" si="176"/>
        <v>1</v>
      </c>
      <c r="AT232" s="249">
        <f t="shared" si="177"/>
        <v>1</v>
      </c>
      <c r="AU232" s="249">
        <f t="shared" si="178"/>
        <v>0</v>
      </c>
      <c r="AV232" s="249">
        <f t="shared" si="179"/>
        <v>0</v>
      </c>
    </row>
    <row r="233" spans="1:48" outlineLevel="1" x14ac:dyDescent="0.25">
      <c r="A233" s="4" t="s">
        <v>221</v>
      </c>
      <c r="B233" s="75" t="s">
        <v>913</v>
      </c>
      <c r="C233" s="25"/>
      <c r="D233" s="92">
        <v>1</v>
      </c>
      <c r="E233" s="110">
        <v>600</v>
      </c>
      <c r="F233" s="93">
        <f>D233*E233</f>
        <v>600</v>
      </c>
      <c r="G233" s="74">
        <f t="shared" si="190"/>
        <v>0</v>
      </c>
      <c r="H233" s="95">
        <f t="shared" si="172"/>
        <v>600</v>
      </c>
      <c r="I233" s="112"/>
      <c r="J233" s="57">
        <v>200</v>
      </c>
      <c r="K233" s="57"/>
      <c r="L233" s="57"/>
      <c r="M233" s="57"/>
      <c r="N233" s="57"/>
      <c r="O233" s="57"/>
      <c r="P233" s="68">
        <v>400</v>
      </c>
      <c r="Q233" s="58"/>
      <c r="R233" s="93">
        <v>600</v>
      </c>
      <c r="S233" s="74">
        <f t="shared" si="186"/>
        <v>0</v>
      </c>
      <c r="T233" s="95">
        <f t="shared" si="187"/>
        <v>600</v>
      </c>
      <c r="U233" s="112"/>
      <c r="V233" s="57">
        <v>200</v>
      </c>
      <c r="W233" s="57"/>
      <c r="X233" s="57"/>
      <c r="Y233" s="57"/>
      <c r="Z233" s="57"/>
      <c r="AA233" s="57"/>
      <c r="AB233" s="68">
        <v>400</v>
      </c>
      <c r="AC233" s="58"/>
      <c r="AD233" s="170">
        <f>P233*Q233</f>
        <v>0</v>
      </c>
      <c r="AE233" s="89">
        <f t="shared" si="182"/>
        <v>0</v>
      </c>
      <c r="AF233" s="216">
        <f t="shared" si="183"/>
        <v>0</v>
      </c>
      <c r="AG233" s="147"/>
      <c r="AH233" s="148"/>
      <c r="AI233" s="148"/>
      <c r="AJ233" s="148"/>
      <c r="AK233" s="148"/>
      <c r="AL233" s="148"/>
      <c r="AM233" s="148"/>
      <c r="AN233" s="149"/>
      <c r="AO233" s="150"/>
      <c r="AP233" s="76"/>
      <c r="AQ233" s="76"/>
      <c r="AR233" s="128"/>
      <c r="AS233" s="108">
        <f t="shared" si="176"/>
        <v>1</v>
      </c>
      <c r="AT233" s="249">
        <f t="shared" si="177"/>
        <v>1</v>
      </c>
      <c r="AU233" s="249">
        <f t="shared" si="178"/>
        <v>0</v>
      </c>
      <c r="AV233" s="249">
        <f t="shared" si="179"/>
        <v>0</v>
      </c>
    </row>
    <row r="234" spans="1:48" outlineLevel="1" x14ac:dyDescent="0.25">
      <c r="A234" s="4" t="s">
        <v>977</v>
      </c>
      <c r="B234" s="75" t="s">
        <v>951</v>
      </c>
      <c r="C234" s="25"/>
      <c r="D234" s="92">
        <v>1</v>
      </c>
      <c r="E234" s="110">
        <v>3590</v>
      </c>
      <c r="F234" s="93">
        <f>D234*E234</f>
        <v>3590</v>
      </c>
      <c r="G234" s="74">
        <f t="shared" si="190"/>
        <v>0</v>
      </c>
      <c r="H234" s="95">
        <f t="shared" si="172"/>
        <v>3590</v>
      </c>
      <c r="I234" s="112"/>
      <c r="J234" s="57"/>
      <c r="K234" s="57"/>
      <c r="L234" s="57"/>
      <c r="M234" s="57"/>
      <c r="N234" s="57"/>
      <c r="O234" s="57"/>
      <c r="P234" s="68">
        <v>3590</v>
      </c>
      <c r="Q234" s="58"/>
      <c r="R234" s="93">
        <v>3590</v>
      </c>
      <c r="S234" s="74">
        <f t="shared" si="186"/>
        <v>0</v>
      </c>
      <c r="T234" s="95">
        <f t="shared" si="187"/>
        <v>3590</v>
      </c>
      <c r="U234" s="112"/>
      <c r="V234" s="57"/>
      <c r="W234" s="57"/>
      <c r="X234" s="57"/>
      <c r="Y234" s="57"/>
      <c r="Z234" s="57"/>
      <c r="AA234" s="57"/>
      <c r="AB234" s="68">
        <v>3590</v>
      </c>
      <c r="AC234" s="58"/>
      <c r="AD234" s="215">
        <v>1678.14</v>
      </c>
      <c r="AE234" s="89">
        <f t="shared" si="182"/>
        <v>-1678.14</v>
      </c>
      <c r="AF234" s="216">
        <f t="shared" si="183"/>
        <v>0</v>
      </c>
      <c r="AG234" s="147"/>
      <c r="AH234" s="148"/>
      <c r="AI234" s="148"/>
      <c r="AJ234" s="148"/>
      <c r="AK234" s="148"/>
      <c r="AL234" s="148"/>
      <c r="AM234" s="148"/>
      <c r="AN234" s="149"/>
      <c r="AO234" s="150"/>
      <c r="AP234" s="76"/>
      <c r="AQ234" s="76"/>
      <c r="AR234" s="128"/>
      <c r="AS234" s="108">
        <f t="shared" si="176"/>
        <v>1</v>
      </c>
      <c r="AT234" s="249">
        <f t="shared" si="177"/>
        <v>1</v>
      </c>
      <c r="AU234" s="249">
        <f t="shared" si="178"/>
        <v>0.46744846796657386</v>
      </c>
      <c r="AV234" s="249">
        <f t="shared" si="179"/>
        <v>0</v>
      </c>
    </row>
    <row r="235" spans="1:48" outlineLevel="1" x14ac:dyDescent="0.25">
      <c r="A235" s="4" t="s">
        <v>1087</v>
      </c>
      <c r="B235" s="75" t="s">
        <v>47</v>
      </c>
      <c r="C235" s="25"/>
      <c r="D235" s="92">
        <v>1</v>
      </c>
      <c r="E235" s="110">
        <v>700</v>
      </c>
      <c r="F235" s="93">
        <f>D235*E235</f>
        <v>700</v>
      </c>
      <c r="G235" s="74">
        <f t="shared" si="190"/>
        <v>0</v>
      </c>
      <c r="H235" s="95">
        <f t="shared" si="172"/>
        <v>700</v>
      </c>
      <c r="I235" s="112"/>
      <c r="J235" s="57"/>
      <c r="K235" s="57"/>
      <c r="L235" s="57"/>
      <c r="M235" s="57"/>
      <c r="N235" s="57"/>
      <c r="O235" s="57"/>
      <c r="P235" s="68">
        <v>700</v>
      </c>
      <c r="Q235" s="58"/>
      <c r="R235" s="93">
        <v>700</v>
      </c>
      <c r="S235" s="74">
        <f t="shared" si="186"/>
        <v>0</v>
      </c>
      <c r="T235" s="95">
        <f t="shared" si="187"/>
        <v>700</v>
      </c>
      <c r="U235" s="112"/>
      <c r="V235" s="57"/>
      <c r="W235" s="57"/>
      <c r="X235" s="57"/>
      <c r="Y235" s="57"/>
      <c r="Z235" s="57"/>
      <c r="AA235" s="57"/>
      <c r="AB235" s="68">
        <v>700</v>
      </c>
      <c r="AC235" s="58"/>
      <c r="AD235" s="170">
        <v>187.92</v>
      </c>
      <c r="AE235" s="89">
        <f t="shared" si="182"/>
        <v>-187.92</v>
      </c>
      <c r="AF235" s="216">
        <f t="shared" si="183"/>
        <v>0</v>
      </c>
      <c r="AG235" s="147"/>
      <c r="AH235" s="148"/>
      <c r="AI235" s="148"/>
      <c r="AJ235" s="148"/>
      <c r="AK235" s="148"/>
      <c r="AL235" s="148"/>
      <c r="AM235" s="148"/>
      <c r="AN235" s="149"/>
      <c r="AO235" s="150"/>
      <c r="AP235" s="76"/>
      <c r="AQ235" s="76"/>
      <c r="AR235" s="128"/>
      <c r="AS235" s="108">
        <f t="shared" si="176"/>
        <v>1</v>
      </c>
      <c r="AT235" s="249">
        <f t="shared" si="177"/>
        <v>1</v>
      </c>
      <c r="AU235" s="249">
        <f t="shared" si="178"/>
        <v>0.26845714285714284</v>
      </c>
      <c r="AV235" s="249">
        <f t="shared" si="179"/>
        <v>0</v>
      </c>
    </row>
    <row r="236" spans="1:48" s="280" customFormat="1" ht="15.75" x14ac:dyDescent="0.25">
      <c r="A236" s="270" t="s">
        <v>223</v>
      </c>
      <c r="B236" s="271" t="s">
        <v>495</v>
      </c>
      <c r="C236" s="272"/>
      <c r="D236" s="273"/>
      <c r="E236" s="274"/>
      <c r="F236" s="264">
        <f>SUM(F237:F237)</f>
        <v>3900</v>
      </c>
      <c r="G236" s="265">
        <f t="shared" si="190"/>
        <v>0</v>
      </c>
      <c r="H236" s="275">
        <f t="shared" si="172"/>
        <v>3900</v>
      </c>
      <c r="I236" s="267">
        <f t="shared" ref="I236:AO236" si="202">SUM(I237:I237)</f>
        <v>0</v>
      </c>
      <c r="J236" s="268">
        <f t="shared" si="202"/>
        <v>0</v>
      </c>
      <c r="K236" s="268">
        <f t="shared" si="202"/>
        <v>0</v>
      </c>
      <c r="L236" s="268">
        <f t="shared" si="202"/>
        <v>0</v>
      </c>
      <c r="M236" s="268">
        <f t="shared" si="202"/>
        <v>0</v>
      </c>
      <c r="N236" s="268">
        <f t="shared" si="202"/>
        <v>0</v>
      </c>
      <c r="O236" s="268">
        <f t="shared" si="202"/>
        <v>0</v>
      </c>
      <c r="P236" s="268">
        <f t="shared" si="202"/>
        <v>3900</v>
      </c>
      <c r="Q236" s="269">
        <f t="shared" si="202"/>
        <v>0</v>
      </c>
      <c r="R236" s="264">
        <f>SUM(R237:R237)</f>
        <v>3900</v>
      </c>
      <c r="S236" s="265">
        <f t="shared" si="186"/>
        <v>0</v>
      </c>
      <c r="T236" s="275">
        <f t="shared" si="187"/>
        <v>3900</v>
      </c>
      <c r="U236" s="267">
        <f t="shared" si="202"/>
        <v>0</v>
      </c>
      <c r="V236" s="268">
        <f t="shared" si="202"/>
        <v>0</v>
      </c>
      <c r="W236" s="268">
        <f t="shared" si="202"/>
        <v>0</v>
      </c>
      <c r="X236" s="268">
        <f t="shared" si="202"/>
        <v>0</v>
      </c>
      <c r="Y236" s="268">
        <f t="shared" si="202"/>
        <v>0</v>
      </c>
      <c r="Z236" s="268">
        <f t="shared" si="202"/>
        <v>0</v>
      </c>
      <c r="AA236" s="268">
        <f t="shared" si="202"/>
        <v>0</v>
      </c>
      <c r="AB236" s="268">
        <f t="shared" si="202"/>
        <v>3900</v>
      </c>
      <c r="AC236" s="269">
        <f t="shared" si="202"/>
        <v>0</v>
      </c>
      <c r="AD236" s="264">
        <f>SUM(AD237:AD237)</f>
        <v>0</v>
      </c>
      <c r="AE236" s="265">
        <f t="shared" si="182"/>
        <v>0</v>
      </c>
      <c r="AF236" s="266">
        <f t="shared" si="183"/>
        <v>0</v>
      </c>
      <c r="AG236" s="267">
        <f t="shared" si="202"/>
        <v>0</v>
      </c>
      <c r="AH236" s="268">
        <f t="shared" si="202"/>
        <v>0</v>
      </c>
      <c r="AI236" s="268">
        <f t="shared" si="202"/>
        <v>0</v>
      </c>
      <c r="AJ236" s="268">
        <f t="shared" si="202"/>
        <v>0</v>
      </c>
      <c r="AK236" s="268">
        <f t="shared" si="202"/>
        <v>0</v>
      </c>
      <c r="AL236" s="268">
        <f t="shared" si="202"/>
        <v>0</v>
      </c>
      <c r="AM236" s="268">
        <f t="shared" si="202"/>
        <v>0</v>
      </c>
      <c r="AN236" s="268">
        <f t="shared" si="202"/>
        <v>0</v>
      </c>
      <c r="AO236" s="269">
        <f t="shared" si="202"/>
        <v>0</v>
      </c>
      <c r="AP236" s="276">
        <v>3900</v>
      </c>
      <c r="AQ236" s="276">
        <v>3900</v>
      </c>
      <c r="AR236" s="277">
        <f>AQ236*100/AP236</f>
        <v>100</v>
      </c>
      <c r="AS236" s="278">
        <f t="shared" si="176"/>
        <v>1</v>
      </c>
      <c r="AT236" s="279">
        <f t="shared" si="177"/>
        <v>1</v>
      </c>
      <c r="AU236" s="279">
        <f t="shared" si="178"/>
        <v>0</v>
      </c>
      <c r="AV236" s="279">
        <f t="shared" si="179"/>
        <v>0</v>
      </c>
    </row>
    <row r="237" spans="1:48" outlineLevel="1" x14ac:dyDescent="0.25">
      <c r="A237" s="4" t="s">
        <v>224</v>
      </c>
      <c r="B237" s="75" t="s">
        <v>495</v>
      </c>
      <c r="C237" s="25"/>
      <c r="D237" s="92">
        <v>1</v>
      </c>
      <c r="E237" s="110">
        <v>3900</v>
      </c>
      <c r="F237" s="93">
        <f>D237*E237</f>
        <v>3900</v>
      </c>
      <c r="G237" s="74">
        <f t="shared" si="190"/>
        <v>0</v>
      </c>
      <c r="H237" s="95">
        <f t="shared" si="172"/>
        <v>3900</v>
      </c>
      <c r="I237" s="112"/>
      <c r="J237" s="57"/>
      <c r="K237" s="57"/>
      <c r="L237" s="57"/>
      <c r="M237" s="57"/>
      <c r="N237" s="57"/>
      <c r="O237" s="57"/>
      <c r="P237" s="68">
        <v>3900</v>
      </c>
      <c r="Q237" s="58"/>
      <c r="R237" s="93">
        <v>3900</v>
      </c>
      <c r="S237" s="74">
        <f t="shared" si="186"/>
        <v>0</v>
      </c>
      <c r="T237" s="95">
        <f t="shared" si="187"/>
        <v>3900</v>
      </c>
      <c r="U237" s="112"/>
      <c r="V237" s="57"/>
      <c r="W237" s="57"/>
      <c r="X237" s="57"/>
      <c r="Y237" s="57"/>
      <c r="Z237" s="57"/>
      <c r="AA237" s="57"/>
      <c r="AB237" s="68">
        <v>3900</v>
      </c>
      <c r="AC237" s="58"/>
      <c r="AD237" s="170">
        <f>P237*Q237</f>
        <v>0</v>
      </c>
      <c r="AE237" s="89">
        <f t="shared" si="182"/>
        <v>0</v>
      </c>
      <c r="AF237" s="216">
        <f t="shared" si="183"/>
        <v>0</v>
      </c>
      <c r="AG237" s="147"/>
      <c r="AH237" s="148"/>
      <c r="AI237" s="148"/>
      <c r="AJ237" s="148"/>
      <c r="AK237" s="148"/>
      <c r="AL237" s="148"/>
      <c r="AM237" s="148"/>
      <c r="AN237" s="149"/>
      <c r="AO237" s="150"/>
      <c r="AP237" s="76"/>
      <c r="AQ237" s="76"/>
      <c r="AR237" s="128"/>
      <c r="AS237" s="108">
        <f t="shared" si="176"/>
        <v>1</v>
      </c>
      <c r="AT237" s="249">
        <f t="shared" si="177"/>
        <v>1</v>
      </c>
      <c r="AU237" s="249">
        <f t="shared" si="178"/>
        <v>0</v>
      </c>
      <c r="AV237" s="249">
        <f t="shared" si="179"/>
        <v>0</v>
      </c>
    </row>
    <row r="238" spans="1:48" s="2" customFormat="1" ht="21" x14ac:dyDescent="0.35">
      <c r="A238" s="8" t="s">
        <v>226</v>
      </c>
      <c r="B238" s="12" t="s">
        <v>589</v>
      </c>
      <c r="C238" s="21"/>
      <c r="D238" s="22"/>
      <c r="E238" s="15"/>
      <c r="F238" s="84">
        <f>F239+F245+F259</f>
        <v>116300</v>
      </c>
      <c r="G238" s="89">
        <f t="shared" si="190"/>
        <v>-3500.4255192500132</v>
      </c>
      <c r="H238" s="16">
        <f t="shared" si="172"/>
        <v>112799.57448074999</v>
      </c>
      <c r="I238" s="51">
        <f t="shared" ref="I238:Q238" si="203">I239+I245+I256+I259</f>
        <v>24654</v>
      </c>
      <c r="J238" s="51">
        <f t="shared" si="203"/>
        <v>0</v>
      </c>
      <c r="K238" s="51">
        <f t="shared" si="203"/>
        <v>0</v>
      </c>
      <c r="L238" s="51">
        <f t="shared" si="203"/>
        <v>18657</v>
      </c>
      <c r="M238" s="51">
        <f t="shared" si="203"/>
        <v>0</v>
      </c>
      <c r="N238" s="51">
        <f t="shared" si="203"/>
        <v>0</v>
      </c>
      <c r="O238" s="51">
        <f t="shared" si="203"/>
        <v>0</v>
      </c>
      <c r="P238" s="51">
        <f t="shared" si="203"/>
        <v>48988.574480749994</v>
      </c>
      <c r="Q238" s="51">
        <f t="shared" si="203"/>
        <v>20500</v>
      </c>
      <c r="R238" s="84">
        <f>R239+R245+R259</f>
        <v>116300</v>
      </c>
      <c r="S238" s="89">
        <f t="shared" si="186"/>
        <v>-3500.4255192500132</v>
      </c>
      <c r="T238" s="16">
        <f t="shared" si="187"/>
        <v>112799.57448074999</v>
      </c>
      <c r="U238" s="51">
        <f t="shared" ref="U238:AC238" si="204">U239+U245+U256+U259</f>
        <v>24654</v>
      </c>
      <c r="V238" s="51">
        <f t="shared" si="204"/>
        <v>0</v>
      </c>
      <c r="W238" s="51">
        <f t="shared" si="204"/>
        <v>0</v>
      </c>
      <c r="X238" s="51">
        <f t="shared" si="204"/>
        <v>18657</v>
      </c>
      <c r="Y238" s="51">
        <f t="shared" si="204"/>
        <v>0</v>
      </c>
      <c r="Z238" s="51">
        <f t="shared" si="204"/>
        <v>0</v>
      </c>
      <c r="AA238" s="51">
        <f t="shared" si="204"/>
        <v>0</v>
      </c>
      <c r="AB238" s="51">
        <f t="shared" si="204"/>
        <v>48988.574480749994</v>
      </c>
      <c r="AC238" s="51">
        <f t="shared" si="204"/>
        <v>20500</v>
      </c>
      <c r="AD238" s="255">
        <f>AD239+AD245+AD259</f>
        <v>49547.270000000004</v>
      </c>
      <c r="AE238" s="256">
        <f t="shared" si="182"/>
        <v>-49318.270000000004</v>
      </c>
      <c r="AF238" s="257">
        <f t="shared" si="183"/>
        <v>229</v>
      </c>
      <c r="AG238" s="260">
        <f>AG239+AG245+AG256+AG259</f>
        <v>0</v>
      </c>
      <c r="AH238" s="262">
        <v>229</v>
      </c>
      <c r="AI238" s="260">
        <f t="shared" ref="AI238:AO238" si="205">AI239+AI245+AI256+AI259</f>
        <v>0</v>
      </c>
      <c r="AJ238" s="260">
        <f t="shared" si="205"/>
        <v>0</v>
      </c>
      <c r="AK238" s="260">
        <f t="shared" si="205"/>
        <v>0</v>
      </c>
      <c r="AL238" s="260">
        <f t="shared" si="205"/>
        <v>0</v>
      </c>
      <c r="AM238" s="260">
        <f t="shared" si="205"/>
        <v>0</v>
      </c>
      <c r="AN238" s="260">
        <f t="shared" si="205"/>
        <v>0</v>
      </c>
      <c r="AO238" s="260">
        <f t="shared" si="205"/>
        <v>0</v>
      </c>
      <c r="AP238" s="32">
        <f>AP239+AP245+AP256+AP259</f>
        <v>127251</v>
      </c>
      <c r="AQ238" s="32">
        <f>AQ239+AQ245+AQ256+AQ259</f>
        <v>80762.839999999982</v>
      </c>
      <c r="AR238" s="126">
        <f>AQ238*100/AP238</f>
        <v>63.46735192650744</v>
      </c>
      <c r="AS238" s="108">
        <f t="shared" si="176"/>
        <v>1</v>
      </c>
      <c r="AT238" s="249">
        <f t="shared" si="177"/>
        <v>1</v>
      </c>
      <c r="AU238" s="249">
        <f t="shared" si="178"/>
        <v>0.42602983662940674</v>
      </c>
      <c r="AV238" s="249">
        <f t="shared" si="179"/>
        <v>2.0301495023731706E-3</v>
      </c>
    </row>
    <row r="239" spans="1:48" s="280" customFormat="1" ht="15.75" x14ac:dyDescent="0.25">
      <c r="A239" s="270" t="s">
        <v>230</v>
      </c>
      <c r="B239" s="271" t="s">
        <v>211</v>
      </c>
      <c r="C239" s="272"/>
      <c r="D239" s="273"/>
      <c r="E239" s="274"/>
      <c r="F239" s="264">
        <f>SUM(F240:F244)</f>
        <v>12000</v>
      </c>
      <c r="G239" s="265">
        <f t="shared" si="190"/>
        <v>0</v>
      </c>
      <c r="H239" s="275">
        <f t="shared" si="172"/>
        <v>12000</v>
      </c>
      <c r="I239" s="267">
        <f t="shared" ref="I239:Q239" si="206">SUM(I240:I244)</f>
        <v>10800</v>
      </c>
      <c r="J239" s="268">
        <f t="shared" si="206"/>
        <v>0</v>
      </c>
      <c r="K239" s="268">
        <f t="shared" si="206"/>
        <v>0</v>
      </c>
      <c r="L239" s="268">
        <f t="shared" si="206"/>
        <v>1200</v>
      </c>
      <c r="M239" s="268">
        <f t="shared" si="206"/>
        <v>0</v>
      </c>
      <c r="N239" s="268">
        <f t="shared" si="206"/>
        <v>0</v>
      </c>
      <c r="O239" s="268">
        <f t="shared" si="206"/>
        <v>0</v>
      </c>
      <c r="P239" s="268">
        <f t="shared" si="206"/>
        <v>0</v>
      </c>
      <c r="Q239" s="269">
        <f t="shared" si="206"/>
        <v>0</v>
      </c>
      <c r="R239" s="264">
        <f>SUM(R240:R244)</f>
        <v>12000</v>
      </c>
      <c r="S239" s="265">
        <f t="shared" si="186"/>
        <v>0</v>
      </c>
      <c r="T239" s="275">
        <f t="shared" si="187"/>
        <v>12000</v>
      </c>
      <c r="U239" s="267">
        <f t="shared" ref="U239:AC239" si="207">SUM(U240:U244)</f>
        <v>10800</v>
      </c>
      <c r="V239" s="268">
        <f t="shared" si="207"/>
        <v>0</v>
      </c>
      <c r="W239" s="268">
        <f t="shared" si="207"/>
        <v>0</v>
      </c>
      <c r="X239" s="268">
        <f t="shared" si="207"/>
        <v>1200</v>
      </c>
      <c r="Y239" s="268">
        <f t="shared" si="207"/>
        <v>0</v>
      </c>
      <c r="Z239" s="268">
        <f t="shared" si="207"/>
        <v>0</v>
      </c>
      <c r="AA239" s="268">
        <f t="shared" si="207"/>
        <v>0</v>
      </c>
      <c r="AB239" s="268">
        <f t="shared" si="207"/>
        <v>0</v>
      </c>
      <c r="AC239" s="269">
        <f t="shared" si="207"/>
        <v>0</v>
      </c>
      <c r="AD239" s="264">
        <f>SUM(AD240:AD244)</f>
        <v>7381.55</v>
      </c>
      <c r="AE239" s="265">
        <f t="shared" si="182"/>
        <v>-7381.55</v>
      </c>
      <c r="AF239" s="266">
        <f t="shared" si="183"/>
        <v>0</v>
      </c>
      <c r="AG239" s="267">
        <f t="shared" ref="AG239:AO239" si="208">SUM(AG240:AG244)</f>
        <v>0</v>
      </c>
      <c r="AH239" s="268">
        <f t="shared" si="208"/>
        <v>0</v>
      </c>
      <c r="AI239" s="268">
        <f t="shared" si="208"/>
        <v>0</v>
      </c>
      <c r="AJ239" s="268">
        <f t="shared" si="208"/>
        <v>0</v>
      </c>
      <c r="AK239" s="268">
        <f t="shared" si="208"/>
        <v>0</v>
      </c>
      <c r="AL239" s="268">
        <f t="shared" si="208"/>
        <v>0</v>
      </c>
      <c r="AM239" s="268">
        <f t="shared" si="208"/>
        <v>0</v>
      </c>
      <c r="AN239" s="268">
        <f t="shared" si="208"/>
        <v>0</v>
      </c>
      <c r="AO239" s="269">
        <f t="shared" si="208"/>
        <v>0</v>
      </c>
      <c r="AP239" s="276">
        <v>14000</v>
      </c>
      <c r="AQ239" s="276">
        <f>724.5+556.35+3329.68+814.22+561.91+123.23+10.49+1698.97+2218.69+23.57</f>
        <v>10061.609999999999</v>
      </c>
      <c r="AR239" s="277">
        <f>AQ239*100/AP239</f>
        <v>71.868642857142845</v>
      </c>
      <c r="AS239" s="278">
        <f t="shared" si="176"/>
        <v>1</v>
      </c>
      <c r="AT239" s="279">
        <f t="shared" si="177"/>
        <v>1</v>
      </c>
      <c r="AU239" s="279">
        <f t="shared" si="178"/>
        <v>0.61512916666666673</v>
      </c>
      <c r="AV239" s="279">
        <f t="shared" si="179"/>
        <v>0</v>
      </c>
    </row>
    <row r="240" spans="1:48" outlineLevel="1" x14ac:dyDescent="0.25">
      <c r="A240" s="4" t="s">
        <v>231</v>
      </c>
      <c r="B240" s="75" t="s">
        <v>938</v>
      </c>
      <c r="C240" s="25"/>
      <c r="D240" s="92">
        <v>1</v>
      </c>
      <c r="E240" s="110">
        <v>3000</v>
      </c>
      <c r="F240" s="93">
        <f>D240*E240</f>
        <v>3000</v>
      </c>
      <c r="G240" s="74">
        <f t="shared" si="190"/>
        <v>0</v>
      </c>
      <c r="H240" s="95">
        <f t="shared" si="172"/>
        <v>3000</v>
      </c>
      <c r="I240" s="112">
        <v>2500</v>
      </c>
      <c r="J240" s="57"/>
      <c r="K240" s="57"/>
      <c r="L240" s="57">
        <v>500</v>
      </c>
      <c r="M240" s="57"/>
      <c r="N240" s="57"/>
      <c r="O240" s="57"/>
      <c r="P240" s="68"/>
      <c r="Q240" s="58"/>
      <c r="R240" s="93">
        <v>3000</v>
      </c>
      <c r="S240" s="74">
        <f t="shared" si="186"/>
        <v>0</v>
      </c>
      <c r="T240" s="95">
        <f t="shared" si="187"/>
        <v>3000</v>
      </c>
      <c r="U240" s="112">
        <v>2500</v>
      </c>
      <c r="V240" s="57"/>
      <c r="W240" s="57"/>
      <c r="X240" s="57">
        <v>500</v>
      </c>
      <c r="Y240" s="57"/>
      <c r="Z240" s="57"/>
      <c r="AA240" s="57"/>
      <c r="AB240" s="68"/>
      <c r="AC240" s="58"/>
      <c r="AD240" s="170">
        <f>2127.56+599.11</f>
        <v>2726.67</v>
      </c>
      <c r="AE240" s="89">
        <f t="shared" si="182"/>
        <v>-2726.67</v>
      </c>
      <c r="AF240" s="216">
        <f t="shared" si="183"/>
        <v>0</v>
      </c>
      <c r="AG240" s="147"/>
      <c r="AH240" s="148"/>
      <c r="AI240" s="148"/>
      <c r="AJ240" s="148"/>
      <c r="AK240" s="148"/>
      <c r="AL240" s="148"/>
      <c r="AM240" s="148"/>
      <c r="AN240" s="149"/>
      <c r="AO240" s="150"/>
      <c r="AP240" s="76"/>
      <c r="AQ240" s="76"/>
      <c r="AR240" s="128"/>
      <c r="AS240" s="108">
        <f t="shared" si="176"/>
        <v>1</v>
      </c>
      <c r="AT240" s="249">
        <f t="shared" si="177"/>
        <v>1</v>
      </c>
      <c r="AU240" s="249">
        <f t="shared" si="178"/>
        <v>0.90888999999999998</v>
      </c>
      <c r="AV240" s="249">
        <f t="shared" si="179"/>
        <v>0</v>
      </c>
    </row>
    <row r="241" spans="1:48" outlineLevel="1" x14ac:dyDescent="0.25">
      <c r="A241" s="4" t="s">
        <v>232</v>
      </c>
      <c r="B241" s="75" t="s">
        <v>939</v>
      </c>
      <c r="C241" s="25"/>
      <c r="D241" s="92">
        <v>1</v>
      </c>
      <c r="E241" s="110">
        <v>4000</v>
      </c>
      <c r="F241" s="93">
        <f>D241*E241</f>
        <v>4000</v>
      </c>
      <c r="G241" s="74">
        <f t="shared" si="190"/>
        <v>0</v>
      </c>
      <c r="H241" s="95">
        <f t="shared" si="172"/>
        <v>4000</v>
      </c>
      <c r="I241" s="112">
        <v>3800</v>
      </c>
      <c r="J241" s="57"/>
      <c r="K241" s="57"/>
      <c r="L241" s="57">
        <v>200</v>
      </c>
      <c r="M241" s="57"/>
      <c r="N241" s="57"/>
      <c r="O241" s="57"/>
      <c r="P241" s="68"/>
      <c r="Q241" s="58"/>
      <c r="R241" s="93">
        <v>4000</v>
      </c>
      <c r="S241" s="74">
        <f t="shared" si="186"/>
        <v>0</v>
      </c>
      <c r="T241" s="95">
        <f t="shared" si="187"/>
        <v>4000</v>
      </c>
      <c r="U241" s="112">
        <v>3800</v>
      </c>
      <c r="V241" s="57"/>
      <c r="W241" s="57"/>
      <c r="X241" s="57">
        <v>200</v>
      </c>
      <c r="Y241" s="57"/>
      <c r="Z241" s="57"/>
      <c r="AA241" s="57"/>
      <c r="AB241" s="68"/>
      <c r="AC241" s="58"/>
      <c r="AD241" s="170">
        <v>2040.31</v>
      </c>
      <c r="AE241" s="89">
        <f t="shared" si="182"/>
        <v>-2040.31</v>
      </c>
      <c r="AF241" s="216">
        <f t="shared" si="183"/>
        <v>0</v>
      </c>
      <c r="AG241" s="147"/>
      <c r="AH241" s="148"/>
      <c r="AI241" s="148"/>
      <c r="AJ241" s="148"/>
      <c r="AK241" s="148"/>
      <c r="AL241" s="148"/>
      <c r="AM241" s="148"/>
      <c r="AN241" s="149"/>
      <c r="AO241" s="150"/>
      <c r="AP241" s="76"/>
      <c r="AQ241" s="76"/>
      <c r="AR241" s="128"/>
      <c r="AS241" s="108">
        <f t="shared" si="176"/>
        <v>1</v>
      </c>
      <c r="AT241" s="249">
        <f t="shared" si="177"/>
        <v>1</v>
      </c>
      <c r="AU241" s="249">
        <f t="shared" si="178"/>
        <v>0.51007749999999996</v>
      </c>
      <c r="AV241" s="249">
        <f t="shared" si="179"/>
        <v>0</v>
      </c>
    </row>
    <row r="242" spans="1:48" outlineLevel="1" x14ac:dyDescent="0.25">
      <c r="A242" s="4" t="s">
        <v>233</v>
      </c>
      <c r="B242" s="75" t="s">
        <v>940</v>
      </c>
      <c r="C242" s="25"/>
      <c r="D242" s="92">
        <v>1</v>
      </c>
      <c r="E242" s="110">
        <v>1000</v>
      </c>
      <c r="F242" s="93">
        <f>D242*E242</f>
        <v>1000</v>
      </c>
      <c r="G242" s="74">
        <f t="shared" si="190"/>
        <v>0</v>
      </c>
      <c r="H242" s="95">
        <f t="shared" si="172"/>
        <v>1000</v>
      </c>
      <c r="I242" s="112">
        <v>1000</v>
      </c>
      <c r="J242" s="57"/>
      <c r="K242" s="57"/>
      <c r="L242" s="57"/>
      <c r="M242" s="57"/>
      <c r="N242" s="57"/>
      <c r="O242" s="57"/>
      <c r="P242" s="68"/>
      <c r="Q242" s="58"/>
      <c r="R242" s="93">
        <v>1000</v>
      </c>
      <c r="S242" s="74">
        <f t="shared" si="186"/>
        <v>0</v>
      </c>
      <c r="T242" s="95">
        <f t="shared" si="187"/>
        <v>1000</v>
      </c>
      <c r="U242" s="112">
        <v>1000</v>
      </c>
      <c r="V242" s="57"/>
      <c r="W242" s="57"/>
      <c r="X242" s="57"/>
      <c r="Y242" s="57"/>
      <c r="Z242" s="57"/>
      <c r="AA242" s="57"/>
      <c r="AB242" s="68"/>
      <c r="AC242" s="58"/>
      <c r="AD242" s="170">
        <v>679.72</v>
      </c>
      <c r="AE242" s="89">
        <f t="shared" si="182"/>
        <v>-679.72</v>
      </c>
      <c r="AF242" s="216">
        <f t="shared" si="183"/>
        <v>0</v>
      </c>
      <c r="AG242" s="147"/>
      <c r="AH242" s="148"/>
      <c r="AI242" s="148"/>
      <c r="AJ242" s="148"/>
      <c r="AK242" s="148"/>
      <c r="AL242" s="148"/>
      <c r="AM242" s="148"/>
      <c r="AN242" s="149"/>
      <c r="AO242" s="150"/>
      <c r="AP242" s="76"/>
      <c r="AQ242" s="76"/>
      <c r="AR242" s="128"/>
      <c r="AS242" s="108">
        <f t="shared" si="176"/>
        <v>1</v>
      </c>
      <c r="AT242" s="249">
        <f t="shared" si="177"/>
        <v>1</v>
      </c>
      <c r="AU242" s="249">
        <f t="shared" si="178"/>
        <v>0.67971999999999999</v>
      </c>
      <c r="AV242" s="249">
        <f t="shared" si="179"/>
        <v>0</v>
      </c>
    </row>
    <row r="243" spans="1:48" outlineLevel="1" x14ac:dyDescent="0.25">
      <c r="A243" s="4" t="s">
        <v>820</v>
      </c>
      <c r="B243" s="75" t="s">
        <v>941</v>
      </c>
      <c r="C243" s="25"/>
      <c r="D243" s="92">
        <v>1</v>
      </c>
      <c r="E243" s="110">
        <v>4000</v>
      </c>
      <c r="F243" s="93">
        <f>D243*E243</f>
        <v>4000</v>
      </c>
      <c r="G243" s="74">
        <f t="shared" si="190"/>
        <v>0</v>
      </c>
      <c r="H243" s="95">
        <f t="shared" si="172"/>
        <v>4000</v>
      </c>
      <c r="I243" s="112">
        <v>3500</v>
      </c>
      <c r="J243" s="57"/>
      <c r="K243" s="57"/>
      <c r="L243" s="57">
        <v>500</v>
      </c>
      <c r="M243" s="57"/>
      <c r="N243" s="57"/>
      <c r="O243" s="57"/>
      <c r="P243" s="68"/>
      <c r="Q243" s="58"/>
      <c r="R243" s="93">
        <v>4000</v>
      </c>
      <c r="S243" s="74">
        <f t="shared" si="186"/>
        <v>0</v>
      </c>
      <c r="T243" s="95">
        <f t="shared" si="187"/>
        <v>4000</v>
      </c>
      <c r="U243" s="112">
        <v>3500</v>
      </c>
      <c r="V243" s="57"/>
      <c r="W243" s="57"/>
      <c r="X243" s="57">
        <v>500</v>
      </c>
      <c r="Y243" s="57"/>
      <c r="Z243" s="57"/>
      <c r="AA243" s="57"/>
      <c r="AB243" s="68"/>
      <c r="AC243" s="58"/>
      <c r="AD243" s="170">
        <v>1830.46</v>
      </c>
      <c r="AE243" s="89">
        <f t="shared" si="182"/>
        <v>-1830.46</v>
      </c>
      <c r="AF243" s="216">
        <f t="shared" si="183"/>
        <v>0</v>
      </c>
      <c r="AG243" s="147"/>
      <c r="AH243" s="148"/>
      <c r="AI243" s="148"/>
      <c r="AJ243" s="148"/>
      <c r="AK243" s="148"/>
      <c r="AL243" s="148"/>
      <c r="AM243" s="148"/>
      <c r="AN243" s="149"/>
      <c r="AO243" s="150"/>
      <c r="AP243" s="76"/>
      <c r="AQ243" s="76"/>
      <c r="AR243" s="128"/>
      <c r="AS243" s="108">
        <f t="shared" si="176"/>
        <v>1</v>
      </c>
      <c r="AT243" s="249">
        <f t="shared" si="177"/>
        <v>1</v>
      </c>
      <c r="AU243" s="249">
        <f t="shared" si="178"/>
        <v>0.45761499999999999</v>
      </c>
      <c r="AV243" s="249">
        <f t="shared" si="179"/>
        <v>0</v>
      </c>
    </row>
    <row r="244" spans="1:48" outlineLevel="1" x14ac:dyDescent="0.25">
      <c r="A244" s="4" t="s">
        <v>1088</v>
      </c>
      <c r="B244" s="75" t="s">
        <v>47</v>
      </c>
      <c r="C244" s="25"/>
      <c r="D244" s="92"/>
      <c r="E244" s="110"/>
      <c r="F244" s="93">
        <f>D244*E244</f>
        <v>0</v>
      </c>
      <c r="G244" s="74">
        <f t="shared" si="190"/>
        <v>0</v>
      </c>
      <c r="H244" s="95">
        <f t="shared" si="172"/>
        <v>0</v>
      </c>
      <c r="I244" s="112"/>
      <c r="J244" s="57"/>
      <c r="K244" s="57"/>
      <c r="L244" s="57"/>
      <c r="M244" s="57"/>
      <c r="N244" s="57"/>
      <c r="O244" s="57"/>
      <c r="P244" s="68"/>
      <c r="Q244" s="58"/>
      <c r="R244" s="93">
        <f>P244*Q244</f>
        <v>0</v>
      </c>
      <c r="S244" s="74">
        <f t="shared" si="186"/>
        <v>0</v>
      </c>
      <c r="T244" s="95">
        <f t="shared" si="187"/>
        <v>0</v>
      </c>
      <c r="U244" s="112"/>
      <c r="V244" s="57"/>
      <c r="W244" s="57"/>
      <c r="X244" s="57"/>
      <c r="Y244" s="57"/>
      <c r="Z244" s="57"/>
      <c r="AA244" s="57"/>
      <c r="AB244" s="68"/>
      <c r="AC244" s="58"/>
      <c r="AD244" s="170">
        <v>104.39</v>
      </c>
      <c r="AE244" s="89">
        <f t="shared" si="182"/>
        <v>-104.39</v>
      </c>
      <c r="AF244" s="216">
        <f t="shared" si="183"/>
        <v>0</v>
      </c>
      <c r="AG244" s="147"/>
      <c r="AH244" s="148"/>
      <c r="AI244" s="148"/>
      <c r="AJ244" s="148"/>
      <c r="AK244" s="148"/>
      <c r="AL244" s="148"/>
      <c r="AM244" s="148"/>
      <c r="AN244" s="149"/>
      <c r="AO244" s="150"/>
      <c r="AP244" s="76"/>
      <c r="AQ244" s="76"/>
      <c r="AR244" s="128"/>
      <c r="AS244" s="108"/>
      <c r="AT244" s="249"/>
      <c r="AU244" s="249"/>
      <c r="AV244" s="249"/>
    </row>
    <row r="245" spans="1:48" s="280" customFormat="1" ht="15.75" x14ac:dyDescent="0.25">
      <c r="A245" s="270" t="s">
        <v>234</v>
      </c>
      <c r="B245" s="271" t="s">
        <v>229</v>
      </c>
      <c r="C245" s="272"/>
      <c r="D245" s="273"/>
      <c r="E245" s="274"/>
      <c r="F245" s="264">
        <f>SUM(F246:F255)</f>
        <v>88300</v>
      </c>
      <c r="G245" s="265">
        <f t="shared" si="190"/>
        <v>-3500.4255192500132</v>
      </c>
      <c r="H245" s="275">
        <f t="shared" si="172"/>
        <v>84799.574480749987</v>
      </c>
      <c r="I245" s="267">
        <f t="shared" ref="I245:Q245" si="209">SUM(I246:I255)</f>
        <v>13854</v>
      </c>
      <c r="J245" s="268">
        <f t="shared" si="209"/>
        <v>0</v>
      </c>
      <c r="K245" s="268">
        <f t="shared" si="209"/>
        <v>0</v>
      </c>
      <c r="L245" s="268">
        <f t="shared" si="209"/>
        <v>17457</v>
      </c>
      <c r="M245" s="268">
        <f t="shared" si="209"/>
        <v>0</v>
      </c>
      <c r="N245" s="268">
        <f t="shared" si="209"/>
        <v>0</v>
      </c>
      <c r="O245" s="268">
        <f t="shared" si="209"/>
        <v>0</v>
      </c>
      <c r="P245" s="268">
        <f t="shared" si="209"/>
        <v>48988.574480749994</v>
      </c>
      <c r="Q245" s="269">
        <f t="shared" si="209"/>
        <v>4500</v>
      </c>
      <c r="R245" s="264">
        <f>SUM(R246:R255)</f>
        <v>88300</v>
      </c>
      <c r="S245" s="265">
        <f t="shared" si="186"/>
        <v>-3500.4255192500132</v>
      </c>
      <c r="T245" s="275">
        <f t="shared" si="187"/>
        <v>84799.574480749987</v>
      </c>
      <c r="U245" s="267">
        <f t="shared" ref="U245:AC245" si="210">SUM(U246:U255)</f>
        <v>13854</v>
      </c>
      <c r="V245" s="268">
        <f t="shared" si="210"/>
        <v>0</v>
      </c>
      <c r="W245" s="268">
        <f t="shared" si="210"/>
        <v>0</v>
      </c>
      <c r="X245" s="268">
        <f t="shared" si="210"/>
        <v>17457</v>
      </c>
      <c r="Y245" s="268">
        <f t="shared" si="210"/>
        <v>0</v>
      </c>
      <c r="Z245" s="268">
        <f t="shared" si="210"/>
        <v>0</v>
      </c>
      <c r="AA245" s="268">
        <f t="shared" si="210"/>
        <v>0</v>
      </c>
      <c r="AB245" s="268">
        <f t="shared" si="210"/>
        <v>48988.574480749994</v>
      </c>
      <c r="AC245" s="269">
        <f t="shared" si="210"/>
        <v>4500</v>
      </c>
      <c r="AD245" s="264">
        <f>SUM(AD246:AD255)</f>
        <v>36110.559999999998</v>
      </c>
      <c r="AE245" s="265">
        <f t="shared" si="182"/>
        <v>-36110.559999999998</v>
      </c>
      <c r="AF245" s="266">
        <f t="shared" si="183"/>
        <v>0</v>
      </c>
      <c r="AG245" s="267">
        <f t="shared" ref="AG245:AO245" si="211">SUM(AG246:AG255)</f>
        <v>0</v>
      </c>
      <c r="AH245" s="268">
        <f t="shared" si="211"/>
        <v>0</v>
      </c>
      <c r="AI245" s="268">
        <f t="shared" si="211"/>
        <v>0</v>
      </c>
      <c r="AJ245" s="268">
        <f t="shared" si="211"/>
        <v>0</v>
      </c>
      <c r="AK245" s="268">
        <f t="shared" si="211"/>
        <v>0</v>
      </c>
      <c r="AL245" s="268">
        <f t="shared" si="211"/>
        <v>0</v>
      </c>
      <c r="AM245" s="268">
        <f t="shared" si="211"/>
        <v>0</v>
      </c>
      <c r="AN245" s="268">
        <f t="shared" si="211"/>
        <v>0</v>
      </c>
      <c r="AO245" s="269">
        <f t="shared" si="211"/>
        <v>0</v>
      </c>
      <c r="AP245" s="276">
        <f>88681+700-14000-7640-3950+13200</f>
        <v>76991</v>
      </c>
      <c r="AQ245" s="276">
        <f>136+5989.61+13771.71+742.34+8.61+186.76+1021.3+44.37+922.12+3102.14+50.03+250.14+126.1+6855.76+572.02+752.65+81.4+123.99+5462.14+14.09+20.62+35+389.58+30.3+789.17+127.08+500+100+250+300+167.48+8.38-1698.97-2218.69-23.57+31711.57</f>
        <v>70701.229999999981</v>
      </c>
      <c r="AR245" s="277">
        <f>AQ245*100/AP245</f>
        <v>91.830512657323553</v>
      </c>
      <c r="AS245" s="278">
        <f t="shared" si="176"/>
        <v>1</v>
      </c>
      <c r="AT245" s="279">
        <f t="shared" si="177"/>
        <v>1</v>
      </c>
      <c r="AU245" s="279">
        <f t="shared" si="178"/>
        <v>0.40895311438278592</v>
      </c>
      <c r="AV245" s="279">
        <f t="shared" si="179"/>
        <v>0</v>
      </c>
    </row>
    <row r="246" spans="1:48" outlineLevel="1" x14ac:dyDescent="0.25">
      <c r="A246" s="4" t="s">
        <v>822</v>
      </c>
      <c r="B246" s="75" t="s">
        <v>952</v>
      </c>
      <c r="C246" s="25"/>
      <c r="D246" s="92">
        <v>1</v>
      </c>
      <c r="E246" s="110">
        <v>2500</v>
      </c>
      <c r="F246" s="93">
        <f t="shared" ref="F246:F255" si="212">D246*E246</f>
        <v>2500</v>
      </c>
      <c r="G246" s="74">
        <f t="shared" si="190"/>
        <v>-0.24808849999999438</v>
      </c>
      <c r="H246" s="95">
        <f t="shared" si="172"/>
        <v>2499.7519115</v>
      </c>
      <c r="I246" s="112"/>
      <c r="J246" s="57"/>
      <c r="K246" s="57"/>
      <c r="L246" s="57"/>
      <c r="M246" s="57"/>
      <c r="N246" s="57"/>
      <c r="O246" s="57"/>
      <c r="P246" s="57">
        <v>2499.7519115</v>
      </c>
      <c r="Q246" s="58"/>
      <c r="R246" s="93">
        <v>2500</v>
      </c>
      <c r="S246" s="74">
        <f t="shared" si="186"/>
        <v>-0.24808849999999438</v>
      </c>
      <c r="T246" s="95">
        <f t="shared" si="187"/>
        <v>2499.7519115</v>
      </c>
      <c r="U246" s="112"/>
      <c r="V246" s="57"/>
      <c r="W246" s="57"/>
      <c r="X246" s="57"/>
      <c r="Y246" s="57"/>
      <c r="Z246" s="57"/>
      <c r="AA246" s="57"/>
      <c r="AB246" s="57">
        <v>2499.7519115</v>
      </c>
      <c r="AC246" s="58"/>
      <c r="AD246" s="170">
        <v>647.75</v>
      </c>
      <c r="AE246" s="89">
        <f t="shared" si="182"/>
        <v>-647.75</v>
      </c>
      <c r="AF246" s="216">
        <f t="shared" si="183"/>
        <v>0</v>
      </c>
      <c r="AG246" s="147"/>
      <c r="AH246" s="148"/>
      <c r="AI246" s="148"/>
      <c r="AJ246" s="148"/>
      <c r="AK246" s="148"/>
      <c r="AL246" s="148"/>
      <c r="AM246" s="148"/>
      <c r="AN246" s="148"/>
      <c r="AO246" s="150"/>
      <c r="AP246" s="76"/>
      <c r="AQ246" s="76"/>
      <c r="AR246" s="128"/>
      <c r="AS246" s="108">
        <f t="shared" si="176"/>
        <v>1</v>
      </c>
      <c r="AT246" s="249">
        <f t="shared" si="177"/>
        <v>1</v>
      </c>
      <c r="AU246" s="249">
        <f t="shared" si="178"/>
        <v>0.2591</v>
      </c>
      <c r="AV246" s="249">
        <f t="shared" si="179"/>
        <v>0</v>
      </c>
    </row>
    <row r="247" spans="1:48" outlineLevel="1" x14ac:dyDescent="0.25">
      <c r="A247" s="4" t="s">
        <v>823</v>
      </c>
      <c r="B247" s="75" t="s">
        <v>942</v>
      </c>
      <c r="C247" s="25"/>
      <c r="D247" s="92">
        <v>1</v>
      </c>
      <c r="E247" s="110">
        <v>6000</v>
      </c>
      <c r="F247" s="93">
        <f t="shared" si="212"/>
        <v>6000</v>
      </c>
      <c r="G247" s="74">
        <f t="shared" si="190"/>
        <v>-8.0147499999839056E-2</v>
      </c>
      <c r="H247" s="95">
        <f t="shared" si="172"/>
        <v>5999.9198525000002</v>
      </c>
      <c r="I247" s="112"/>
      <c r="J247" s="57"/>
      <c r="K247" s="57"/>
      <c r="L247" s="57">
        <v>1000</v>
      </c>
      <c r="M247" s="57"/>
      <c r="N247" s="57"/>
      <c r="O247" s="57"/>
      <c r="P247" s="57">
        <v>4999.9198525000002</v>
      </c>
      <c r="Q247" s="58"/>
      <c r="R247" s="93">
        <v>6000</v>
      </c>
      <c r="S247" s="74">
        <f t="shared" si="186"/>
        <v>-8.0147499999839056E-2</v>
      </c>
      <c r="T247" s="95">
        <f t="shared" si="187"/>
        <v>5999.9198525000002</v>
      </c>
      <c r="U247" s="112"/>
      <c r="V247" s="57"/>
      <c r="W247" s="57"/>
      <c r="X247" s="57">
        <v>1000</v>
      </c>
      <c r="Y247" s="57"/>
      <c r="Z247" s="57"/>
      <c r="AA247" s="57"/>
      <c r="AB247" s="57">
        <v>4999.9198525000002</v>
      </c>
      <c r="AC247" s="58"/>
      <c r="AD247" s="170">
        <v>2231.34</v>
      </c>
      <c r="AE247" s="89">
        <f t="shared" si="182"/>
        <v>-2231.34</v>
      </c>
      <c r="AF247" s="216">
        <f t="shared" si="183"/>
        <v>0</v>
      </c>
      <c r="AG247" s="147"/>
      <c r="AH247" s="148"/>
      <c r="AI247" s="148"/>
      <c r="AJ247" s="148"/>
      <c r="AK247" s="148"/>
      <c r="AL247" s="148"/>
      <c r="AM247" s="148"/>
      <c r="AN247" s="148"/>
      <c r="AO247" s="150"/>
      <c r="AP247" s="76"/>
      <c r="AQ247" s="76"/>
      <c r="AR247" s="128"/>
      <c r="AS247" s="108">
        <f t="shared" si="176"/>
        <v>1</v>
      </c>
      <c r="AT247" s="249">
        <f t="shared" si="177"/>
        <v>1</v>
      </c>
      <c r="AU247" s="249">
        <f t="shared" si="178"/>
        <v>0.37189</v>
      </c>
      <c r="AV247" s="249">
        <f t="shared" si="179"/>
        <v>0</v>
      </c>
    </row>
    <row r="248" spans="1:48" outlineLevel="1" x14ac:dyDescent="0.25">
      <c r="A248" s="4" t="s">
        <v>824</v>
      </c>
      <c r="B248" s="75" t="s">
        <v>943</v>
      </c>
      <c r="C248" s="25"/>
      <c r="D248" s="92">
        <v>1</v>
      </c>
      <c r="E248" s="110">
        <v>14000</v>
      </c>
      <c r="F248" s="93">
        <f t="shared" si="212"/>
        <v>14000</v>
      </c>
      <c r="G248" s="74">
        <f t="shared" si="190"/>
        <v>0.2557345000004716</v>
      </c>
      <c r="H248" s="95">
        <f t="shared" si="172"/>
        <v>14000.2557345</v>
      </c>
      <c r="I248" s="112"/>
      <c r="J248" s="57"/>
      <c r="K248" s="57"/>
      <c r="L248" s="57">
        <v>5657</v>
      </c>
      <c r="M248" s="57"/>
      <c r="N248" s="57"/>
      <c r="O248" s="57"/>
      <c r="P248" s="57">
        <v>8343.2557345000005</v>
      </c>
      <c r="Q248" s="58"/>
      <c r="R248" s="93">
        <v>14000</v>
      </c>
      <c r="S248" s="74">
        <f t="shared" si="186"/>
        <v>0.2557345000004716</v>
      </c>
      <c r="T248" s="95">
        <f t="shared" si="187"/>
        <v>14000.2557345</v>
      </c>
      <c r="U248" s="112"/>
      <c r="V248" s="57"/>
      <c r="W248" s="57"/>
      <c r="X248" s="57">
        <v>5657</v>
      </c>
      <c r="Y248" s="57"/>
      <c r="Z248" s="57"/>
      <c r="AA248" s="57"/>
      <c r="AB248" s="57">
        <v>8343.2557345000005</v>
      </c>
      <c r="AC248" s="58"/>
      <c r="AD248" s="170">
        <v>5723.95</v>
      </c>
      <c r="AE248" s="89">
        <f t="shared" si="182"/>
        <v>-5723.95</v>
      </c>
      <c r="AF248" s="216">
        <f t="shared" si="183"/>
        <v>0</v>
      </c>
      <c r="AG248" s="147"/>
      <c r="AH248" s="148"/>
      <c r="AI248" s="148"/>
      <c r="AJ248" s="148"/>
      <c r="AK248" s="148"/>
      <c r="AL248" s="148"/>
      <c r="AM248" s="148"/>
      <c r="AN248" s="148"/>
      <c r="AO248" s="150"/>
      <c r="AP248" s="76"/>
      <c r="AQ248" s="76"/>
      <c r="AR248" s="128"/>
      <c r="AS248" s="108">
        <f t="shared" si="176"/>
        <v>1</v>
      </c>
      <c r="AT248" s="249">
        <f t="shared" si="177"/>
        <v>1</v>
      </c>
      <c r="AU248" s="249">
        <f t="shared" si="178"/>
        <v>0.40885357142857143</v>
      </c>
      <c r="AV248" s="249">
        <f t="shared" si="179"/>
        <v>0</v>
      </c>
    </row>
    <row r="249" spans="1:48" outlineLevel="1" x14ac:dyDescent="0.25">
      <c r="A249" s="4" t="s">
        <v>825</v>
      </c>
      <c r="B249" s="75" t="s">
        <v>946</v>
      </c>
      <c r="C249" s="25"/>
      <c r="D249" s="92">
        <v>1</v>
      </c>
      <c r="E249" s="110">
        <v>6000</v>
      </c>
      <c r="F249" s="93">
        <f t="shared" si="212"/>
        <v>6000</v>
      </c>
      <c r="G249" s="74">
        <f t="shared" si="190"/>
        <v>-0.49617699999998877</v>
      </c>
      <c r="H249" s="95">
        <f t="shared" si="172"/>
        <v>5999.503823</v>
      </c>
      <c r="I249" s="112"/>
      <c r="J249" s="57"/>
      <c r="K249" s="57"/>
      <c r="L249" s="57">
        <v>500</v>
      </c>
      <c r="M249" s="57"/>
      <c r="N249" s="57"/>
      <c r="O249" s="57"/>
      <c r="P249" s="57">
        <v>5499.503823</v>
      </c>
      <c r="Q249" s="58"/>
      <c r="R249" s="93">
        <v>6000</v>
      </c>
      <c r="S249" s="74">
        <f t="shared" si="186"/>
        <v>-0.49617699999998877</v>
      </c>
      <c r="T249" s="95">
        <f t="shared" si="187"/>
        <v>5999.503823</v>
      </c>
      <c r="U249" s="112"/>
      <c r="V249" s="57"/>
      <c r="W249" s="57"/>
      <c r="X249" s="57">
        <v>500</v>
      </c>
      <c r="Y249" s="57"/>
      <c r="Z249" s="57"/>
      <c r="AA249" s="57"/>
      <c r="AB249" s="57">
        <v>5499.503823</v>
      </c>
      <c r="AC249" s="58"/>
      <c r="AD249" s="170">
        <v>2357.7199999999998</v>
      </c>
      <c r="AE249" s="89">
        <f t="shared" si="182"/>
        <v>-2357.7199999999998</v>
      </c>
      <c r="AF249" s="216">
        <f t="shared" si="183"/>
        <v>0</v>
      </c>
      <c r="AG249" s="147"/>
      <c r="AH249" s="148"/>
      <c r="AI249" s="148"/>
      <c r="AJ249" s="148"/>
      <c r="AK249" s="148"/>
      <c r="AL249" s="148"/>
      <c r="AM249" s="148"/>
      <c r="AN249" s="148"/>
      <c r="AO249" s="150"/>
      <c r="AP249" s="76"/>
      <c r="AQ249" s="76"/>
      <c r="AR249" s="128"/>
      <c r="AS249" s="108">
        <f t="shared" si="176"/>
        <v>1</v>
      </c>
      <c r="AT249" s="249">
        <f t="shared" si="177"/>
        <v>1</v>
      </c>
      <c r="AU249" s="249">
        <f t="shared" si="178"/>
        <v>0.39295333333333332</v>
      </c>
      <c r="AV249" s="249">
        <f t="shared" si="179"/>
        <v>0</v>
      </c>
    </row>
    <row r="250" spans="1:48" outlineLevel="1" x14ac:dyDescent="0.25">
      <c r="A250" s="4" t="s">
        <v>826</v>
      </c>
      <c r="B250" s="75" t="s">
        <v>944</v>
      </c>
      <c r="C250" s="25"/>
      <c r="D250" s="92">
        <v>1</v>
      </c>
      <c r="E250" s="110">
        <v>4000</v>
      </c>
      <c r="F250" s="93">
        <f t="shared" si="212"/>
        <v>4000</v>
      </c>
      <c r="G250" s="74">
        <f t="shared" si="190"/>
        <v>0</v>
      </c>
      <c r="H250" s="95">
        <f t="shared" si="172"/>
        <v>4000</v>
      </c>
      <c r="I250" s="112">
        <v>1000</v>
      </c>
      <c r="J250" s="57"/>
      <c r="K250" s="57"/>
      <c r="L250" s="57">
        <v>1000</v>
      </c>
      <c r="M250" s="57"/>
      <c r="N250" s="57"/>
      <c r="O250" s="57"/>
      <c r="P250" s="57">
        <v>2000</v>
      </c>
      <c r="Q250" s="58"/>
      <c r="R250" s="93">
        <v>4000</v>
      </c>
      <c r="S250" s="74">
        <f t="shared" si="186"/>
        <v>0</v>
      </c>
      <c r="T250" s="95">
        <f t="shared" si="187"/>
        <v>4000</v>
      </c>
      <c r="U250" s="112">
        <v>1000</v>
      </c>
      <c r="V250" s="57"/>
      <c r="W250" s="57"/>
      <c r="X250" s="57">
        <v>1000</v>
      </c>
      <c r="Y250" s="57"/>
      <c r="Z250" s="57"/>
      <c r="AA250" s="57"/>
      <c r="AB250" s="57">
        <v>2000</v>
      </c>
      <c r="AC250" s="58"/>
      <c r="AD250" s="170">
        <v>14.15</v>
      </c>
      <c r="AE250" s="89">
        <f t="shared" si="182"/>
        <v>-14.15</v>
      </c>
      <c r="AF250" s="216">
        <f t="shared" si="183"/>
        <v>0</v>
      </c>
      <c r="AG250" s="147"/>
      <c r="AH250" s="148"/>
      <c r="AI250" s="148"/>
      <c r="AJ250" s="148"/>
      <c r="AK250" s="148"/>
      <c r="AL250" s="148"/>
      <c r="AM250" s="148"/>
      <c r="AN250" s="148"/>
      <c r="AO250" s="150"/>
      <c r="AP250" s="76"/>
      <c r="AQ250" s="76"/>
      <c r="AR250" s="128"/>
      <c r="AS250" s="108">
        <f t="shared" si="176"/>
        <v>1</v>
      </c>
      <c r="AT250" s="249">
        <f t="shared" si="177"/>
        <v>1</v>
      </c>
      <c r="AU250" s="249">
        <f t="shared" si="178"/>
        <v>3.5375000000000003E-3</v>
      </c>
      <c r="AV250" s="249">
        <f t="shared" si="179"/>
        <v>0</v>
      </c>
    </row>
    <row r="251" spans="1:48" outlineLevel="1" x14ac:dyDescent="0.25">
      <c r="A251" s="4" t="s">
        <v>827</v>
      </c>
      <c r="B251" s="75" t="s">
        <v>947</v>
      </c>
      <c r="C251" s="25"/>
      <c r="D251" s="92">
        <v>1</v>
      </c>
      <c r="E251" s="110">
        <v>33000</v>
      </c>
      <c r="F251" s="93">
        <f t="shared" si="212"/>
        <v>33000</v>
      </c>
      <c r="G251" s="74">
        <f t="shared" si="190"/>
        <v>0.30345424999541137</v>
      </c>
      <c r="H251" s="95">
        <f t="shared" si="172"/>
        <v>33000.303454249995</v>
      </c>
      <c r="I251" s="112">
        <v>10854</v>
      </c>
      <c r="J251" s="57"/>
      <c r="K251" s="57"/>
      <c r="L251" s="57">
        <v>5000</v>
      </c>
      <c r="M251" s="57"/>
      <c r="N251" s="57"/>
      <c r="O251" s="57"/>
      <c r="P251" s="57">
        <v>17146.303454249999</v>
      </c>
      <c r="Q251" s="58"/>
      <c r="R251" s="93">
        <v>33000</v>
      </c>
      <c r="S251" s="74">
        <f t="shared" si="186"/>
        <v>0.30345424999541137</v>
      </c>
      <c r="T251" s="95">
        <f t="shared" si="187"/>
        <v>33000.303454249995</v>
      </c>
      <c r="U251" s="112">
        <v>10854</v>
      </c>
      <c r="V251" s="57"/>
      <c r="W251" s="57"/>
      <c r="X251" s="57">
        <v>5000</v>
      </c>
      <c r="Y251" s="57"/>
      <c r="Z251" s="57"/>
      <c r="AA251" s="57"/>
      <c r="AB251" s="57">
        <v>17146.303454249999</v>
      </c>
      <c r="AC251" s="58"/>
      <c r="AD251" s="170">
        <v>10266.15</v>
      </c>
      <c r="AE251" s="89">
        <f t="shared" si="182"/>
        <v>-10266.15</v>
      </c>
      <c r="AF251" s="216">
        <f t="shared" si="183"/>
        <v>0</v>
      </c>
      <c r="AG251" s="147"/>
      <c r="AH251" s="148"/>
      <c r="AI251" s="148"/>
      <c r="AJ251" s="148"/>
      <c r="AK251" s="148"/>
      <c r="AL251" s="148"/>
      <c r="AM251" s="148"/>
      <c r="AN251" s="148"/>
      <c r="AO251" s="150"/>
      <c r="AP251" s="76"/>
      <c r="AQ251" s="76"/>
      <c r="AR251" s="128"/>
      <c r="AS251" s="108">
        <f t="shared" si="176"/>
        <v>1</v>
      </c>
      <c r="AT251" s="249">
        <f t="shared" si="177"/>
        <v>1</v>
      </c>
      <c r="AU251" s="249">
        <f t="shared" si="178"/>
        <v>0.31109545454545451</v>
      </c>
      <c r="AV251" s="249">
        <f t="shared" si="179"/>
        <v>0</v>
      </c>
    </row>
    <row r="252" spans="1:48" outlineLevel="1" x14ac:dyDescent="0.25">
      <c r="A252" s="4" t="s">
        <v>828</v>
      </c>
      <c r="B252" s="75" t="s">
        <v>948</v>
      </c>
      <c r="C252" s="25"/>
      <c r="D252" s="92">
        <v>1</v>
      </c>
      <c r="E252" s="110">
        <v>8500</v>
      </c>
      <c r="F252" s="93">
        <f t="shared" si="212"/>
        <v>8500</v>
      </c>
      <c r="G252" s="74">
        <f t="shared" si="190"/>
        <v>-0.16029499999967811</v>
      </c>
      <c r="H252" s="95">
        <f t="shared" si="172"/>
        <v>8499.8397050000003</v>
      </c>
      <c r="I252" s="112"/>
      <c r="J252" s="57"/>
      <c r="K252" s="57"/>
      <c r="L252" s="57"/>
      <c r="M252" s="57"/>
      <c r="N252" s="57"/>
      <c r="O252" s="57"/>
      <c r="P252" s="57">
        <v>8499.8397050000003</v>
      </c>
      <c r="Q252" s="58"/>
      <c r="R252" s="93">
        <v>8500</v>
      </c>
      <c r="S252" s="74">
        <f t="shared" si="186"/>
        <v>-0.16029499999967811</v>
      </c>
      <c r="T252" s="95">
        <f t="shared" si="187"/>
        <v>8499.8397050000003</v>
      </c>
      <c r="U252" s="112"/>
      <c r="V252" s="57"/>
      <c r="W252" s="57"/>
      <c r="X252" s="57"/>
      <c r="Y252" s="57"/>
      <c r="Z252" s="57"/>
      <c r="AA252" s="57"/>
      <c r="AB252" s="57">
        <v>8499.8397050000003</v>
      </c>
      <c r="AC252" s="58"/>
      <c r="AD252" s="170">
        <v>3672.16</v>
      </c>
      <c r="AE252" s="89">
        <f t="shared" si="182"/>
        <v>-3672.16</v>
      </c>
      <c r="AF252" s="216">
        <f t="shared" si="183"/>
        <v>0</v>
      </c>
      <c r="AG252" s="147"/>
      <c r="AH252" s="148"/>
      <c r="AI252" s="148"/>
      <c r="AJ252" s="148"/>
      <c r="AK252" s="148"/>
      <c r="AL252" s="148"/>
      <c r="AM252" s="148"/>
      <c r="AN252" s="148"/>
      <c r="AO252" s="150"/>
      <c r="AP252" s="76"/>
      <c r="AQ252" s="76"/>
      <c r="AR252" s="128"/>
      <c r="AS252" s="108">
        <f t="shared" si="176"/>
        <v>1</v>
      </c>
      <c r="AT252" s="249">
        <f t="shared" si="177"/>
        <v>1</v>
      </c>
      <c r="AU252" s="249">
        <f t="shared" si="178"/>
        <v>0.43201882352941173</v>
      </c>
      <c r="AV252" s="249">
        <f t="shared" si="179"/>
        <v>0</v>
      </c>
    </row>
    <row r="253" spans="1:48" outlineLevel="1" x14ac:dyDescent="0.25">
      <c r="A253" s="4" t="s">
        <v>829</v>
      </c>
      <c r="B253" s="75" t="s">
        <v>945</v>
      </c>
      <c r="C253" s="25"/>
      <c r="D253" s="92">
        <v>1</v>
      </c>
      <c r="E253" s="110">
        <v>2000</v>
      </c>
      <c r="F253" s="93">
        <f t="shared" si="212"/>
        <v>2000</v>
      </c>
      <c r="G253" s="74">
        <f t="shared" si="190"/>
        <v>0</v>
      </c>
      <c r="H253" s="95">
        <f t="shared" si="172"/>
        <v>2000</v>
      </c>
      <c r="I253" s="112">
        <v>2000</v>
      </c>
      <c r="J253" s="57"/>
      <c r="K253" s="57"/>
      <c r="L253" s="57"/>
      <c r="M253" s="57"/>
      <c r="N253" s="57"/>
      <c r="O253" s="57"/>
      <c r="P253" s="68"/>
      <c r="Q253" s="58"/>
      <c r="R253" s="93">
        <v>2000</v>
      </c>
      <c r="S253" s="74">
        <f t="shared" si="186"/>
        <v>0</v>
      </c>
      <c r="T253" s="95">
        <f t="shared" si="187"/>
        <v>2000</v>
      </c>
      <c r="U253" s="112">
        <v>2000</v>
      </c>
      <c r="V253" s="57"/>
      <c r="W253" s="57"/>
      <c r="X253" s="57"/>
      <c r="Y253" s="57"/>
      <c r="Z253" s="57"/>
      <c r="AA253" s="57"/>
      <c r="AB253" s="68"/>
      <c r="AC253" s="58"/>
      <c r="AD253" s="170">
        <f>P253*Q253</f>
        <v>0</v>
      </c>
      <c r="AE253" s="89">
        <f t="shared" si="182"/>
        <v>0</v>
      </c>
      <c r="AF253" s="216">
        <f t="shared" si="183"/>
        <v>0</v>
      </c>
      <c r="AG253" s="147"/>
      <c r="AH253" s="148"/>
      <c r="AI253" s="148"/>
      <c r="AJ253" s="148"/>
      <c r="AK253" s="148"/>
      <c r="AL253" s="148"/>
      <c r="AM253" s="148"/>
      <c r="AN253" s="149"/>
      <c r="AO253" s="150"/>
      <c r="AP253" s="76"/>
      <c r="AQ253" s="76"/>
      <c r="AR253" s="128"/>
      <c r="AS253" s="108">
        <f t="shared" si="176"/>
        <v>1</v>
      </c>
      <c r="AT253" s="249">
        <f t="shared" si="177"/>
        <v>1</v>
      </c>
      <c r="AU253" s="249">
        <f t="shared" si="178"/>
        <v>0</v>
      </c>
      <c r="AV253" s="249">
        <f t="shared" si="179"/>
        <v>0</v>
      </c>
    </row>
    <row r="254" spans="1:48" outlineLevel="1" x14ac:dyDescent="0.25">
      <c r="A254" s="4" t="s">
        <v>830</v>
      </c>
      <c r="B254" s="75" t="s">
        <v>949</v>
      </c>
      <c r="C254" s="25"/>
      <c r="D254" s="92">
        <v>1</v>
      </c>
      <c r="E254" s="110">
        <v>300</v>
      </c>
      <c r="F254" s="93">
        <f t="shared" si="212"/>
        <v>300</v>
      </c>
      <c r="G254" s="74">
        <f t="shared" si="190"/>
        <v>0</v>
      </c>
      <c r="H254" s="95">
        <f t="shared" si="172"/>
        <v>300</v>
      </c>
      <c r="I254" s="112"/>
      <c r="J254" s="57"/>
      <c r="K254" s="57"/>
      <c r="L254" s="57">
        <v>300</v>
      </c>
      <c r="M254" s="57"/>
      <c r="N254" s="57"/>
      <c r="O254" s="57"/>
      <c r="P254" s="68"/>
      <c r="Q254" s="58"/>
      <c r="R254" s="93">
        <v>300</v>
      </c>
      <c r="S254" s="74">
        <f t="shared" si="186"/>
        <v>0</v>
      </c>
      <c r="T254" s="95">
        <f t="shared" si="187"/>
        <v>300</v>
      </c>
      <c r="U254" s="112"/>
      <c r="V254" s="57"/>
      <c r="W254" s="57"/>
      <c r="X254" s="57">
        <v>300</v>
      </c>
      <c r="Y254" s="57"/>
      <c r="Z254" s="57"/>
      <c r="AA254" s="57"/>
      <c r="AB254" s="68"/>
      <c r="AC254" s="58"/>
      <c r="AD254" s="170">
        <v>2.91</v>
      </c>
      <c r="AE254" s="89">
        <f t="shared" si="182"/>
        <v>-2.91</v>
      </c>
      <c r="AF254" s="216">
        <f t="shared" si="183"/>
        <v>0</v>
      </c>
      <c r="AG254" s="147"/>
      <c r="AH254" s="148"/>
      <c r="AI254" s="148"/>
      <c r="AJ254" s="148"/>
      <c r="AK254" s="148"/>
      <c r="AL254" s="148"/>
      <c r="AM254" s="148"/>
      <c r="AN254" s="149"/>
      <c r="AO254" s="150"/>
      <c r="AP254" s="76"/>
      <c r="AQ254" s="76"/>
      <c r="AR254" s="128"/>
      <c r="AS254" s="108">
        <f t="shared" si="176"/>
        <v>1</v>
      </c>
      <c r="AT254" s="249">
        <f t="shared" si="177"/>
        <v>1</v>
      </c>
      <c r="AU254" s="249">
        <f t="shared" si="178"/>
        <v>9.7000000000000003E-3</v>
      </c>
      <c r="AV254" s="249">
        <f t="shared" si="179"/>
        <v>0</v>
      </c>
    </row>
    <row r="255" spans="1:48" outlineLevel="1" x14ac:dyDescent="0.25">
      <c r="A255" s="4" t="s">
        <v>1089</v>
      </c>
      <c r="B255" s="75" t="s">
        <v>47</v>
      </c>
      <c r="C255" s="25"/>
      <c r="D255" s="92">
        <v>1</v>
      </c>
      <c r="E255" s="110">
        <v>12000</v>
      </c>
      <c r="F255" s="93">
        <f t="shared" si="212"/>
        <v>12000</v>
      </c>
      <c r="G255" s="74">
        <f t="shared" si="190"/>
        <v>-3500</v>
      </c>
      <c r="H255" s="95">
        <f t="shared" si="172"/>
        <v>8500</v>
      </c>
      <c r="I255" s="112"/>
      <c r="J255" s="57"/>
      <c r="K255" s="57"/>
      <c r="L255" s="57">
        <v>4000</v>
      </c>
      <c r="M255" s="57"/>
      <c r="N255" s="57"/>
      <c r="O255" s="57"/>
      <c r="P255" s="68"/>
      <c r="Q255" s="58">
        <v>4500</v>
      </c>
      <c r="R255" s="93">
        <v>12000</v>
      </c>
      <c r="S255" s="74">
        <f t="shared" si="186"/>
        <v>-3500</v>
      </c>
      <c r="T255" s="95">
        <f t="shared" si="187"/>
        <v>8500</v>
      </c>
      <c r="U255" s="112"/>
      <c r="V255" s="57"/>
      <c r="W255" s="57"/>
      <c r="X255" s="57">
        <v>4000</v>
      </c>
      <c r="Y255" s="57"/>
      <c r="Z255" s="57"/>
      <c r="AA255" s="57"/>
      <c r="AB255" s="68"/>
      <c r="AC255" s="58">
        <v>4500</v>
      </c>
      <c r="AD255" s="170">
        <v>11194.43</v>
      </c>
      <c r="AE255" s="89">
        <f t="shared" si="182"/>
        <v>-11194.43</v>
      </c>
      <c r="AF255" s="216">
        <f t="shared" si="183"/>
        <v>0</v>
      </c>
      <c r="AG255" s="147"/>
      <c r="AH255" s="148"/>
      <c r="AI255" s="148"/>
      <c r="AJ255" s="148"/>
      <c r="AK255" s="148"/>
      <c r="AL255" s="148"/>
      <c r="AM255" s="148"/>
      <c r="AN255" s="149"/>
      <c r="AO255" s="150"/>
      <c r="AP255" s="76"/>
      <c r="AQ255" s="76"/>
      <c r="AR255" s="128"/>
      <c r="AS255" s="108">
        <f t="shared" si="176"/>
        <v>1</v>
      </c>
      <c r="AT255" s="249">
        <f t="shared" si="177"/>
        <v>1</v>
      </c>
      <c r="AU255" s="249">
        <f t="shared" si="178"/>
        <v>0.93286916666666664</v>
      </c>
      <c r="AV255" s="249">
        <f t="shared" si="179"/>
        <v>0</v>
      </c>
    </row>
    <row r="256" spans="1:48" s="280" customFormat="1" ht="15.75" x14ac:dyDescent="0.25">
      <c r="A256" s="270" t="s">
        <v>235</v>
      </c>
      <c r="B256" s="271" t="s">
        <v>710</v>
      </c>
      <c r="C256" s="272"/>
      <c r="D256" s="273"/>
      <c r="E256" s="274"/>
      <c r="F256" s="276">
        <f>SUM(F257:F258)</f>
        <v>0</v>
      </c>
      <c r="G256" s="265">
        <f>H256-F256</f>
        <v>0</v>
      </c>
      <c r="H256" s="275">
        <f t="shared" si="172"/>
        <v>0</v>
      </c>
      <c r="I256" s="267">
        <f t="shared" ref="I256:Q256" si="213">SUM(I257:I258)</f>
        <v>0</v>
      </c>
      <c r="J256" s="268">
        <f t="shared" si="213"/>
        <v>0</v>
      </c>
      <c r="K256" s="268">
        <f t="shared" si="213"/>
        <v>0</v>
      </c>
      <c r="L256" s="268">
        <f t="shared" si="213"/>
        <v>0</v>
      </c>
      <c r="M256" s="268">
        <f t="shared" si="213"/>
        <v>0</v>
      </c>
      <c r="N256" s="268">
        <f t="shared" si="213"/>
        <v>0</v>
      </c>
      <c r="O256" s="268">
        <f t="shared" si="213"/>
        <v>0</v>
      </c>
      <c r="P256" s="268">
        <f t="shared" si="213"/>
        <v>0</v>
      </c>
      <c r="Q256" s="269">
        <f t="shared" si="213"/>
        <v>0</v>
      </c>
      <c r="R256" s="276">
        <f>SUM(R257:R258)</f>
        <v>0</v>
      </c>
      <c r="S256" s="265">
        <f>T256-R256</f>
        <v>0</v>
      </c>
      <c r="T256" s="275">
        <f t="shared" si="187"/>
        <v>0</v>
      </c>
      <c r="U256" s="267">
        <f t="shared" ref="U256:AC256" si="214">SUM(U257:U258)</f>
        <v>0</v>
      </c>
      <c r="V256" s="268">
        <f t="shared" si="214"/>
        <v>0</v>
      </c>
      <c r="W256" s="268">
        <f t="shared" si="214"/>
        <v>0</v>
      </c>
      <c r="X256" s="268">
        <f t="shared" si="214"/>
        <v>0</v>
      </c>
      <c r="Y256" s="268">
        <f t="shared" si="214"/>
        <v>0</v>
      </c>
      <c r="Z256" s="268">
        <f t="shared" si="214"/>
        <v>0</v>
      </c>
      <c r="AA256" s="268">
        <f t="shared" si="214"/>
        <v>0</v>
      </c>
      <c r="AB256" s="268">
        <f t="shared" si="214"/>
        <v>0</v>
      </c>
      <c r="AC256" s="269">
        <f t="shared" si="214"/>
        <v>0</v>
      </c>
      <c r="AD256" s="276">
        <f>SUM(AD257:AD258)</f>
        <v>0</v>
      </c>
      <c r="AE256" s="265">
        <f t="shared" si="182"/>
        <v>0</v>
      </c>
      <c r="AF256" s="266">
        <f t="shared" si="183"/>
        <v>0</v>
      </c>
      <c r="AG256" s="267">
        <f t="shared" ref="AG256:AO256" si="215">SUM(AG257:AG258)</f>
        <v>0</v>
      </c>
      <c r="AH256" s="268">
        <f t="shared" si="215"/>
        <v>0</v>
      </c>
      <c r="AI256" s="268">
        <f t="shared" si="215"/>
        <v>0</v>
      </c>
      <c r="AJ256" s="268">
        <f t="shared" si="215"/>
        <v>0</v>
      </c>
      <c r="AK256" s="268">
        <f t="shared" si="215"/>
        <v>0</v>
      </c>
      <c r="AL256" s="268">
        <f t="shared" si="215"/>
        <v>0</v>
      </c>
      <c r="AM256" s="268">
        <f t="shared" si="215"/>
        <v>0</v>
      </c>
      <c r="AN256" s="268">
        <f t="shared" si="215"/>
        <v>0</v>
      </c>
      <c r="AO256" s="269">
        <f t="shared" si="215"/>
        <v>0</v>
      </c>
      <c r="AP256" s="276"/>
      <c r="AQ256" s="276">
        <f>SUM(AQ257:AQ258)</f>
        <v>0</v>
      </c>
      <c r="AR256" s="277" t="e">
        <f>AQ256*100/AP256</f>
        <v>#DIV/0!</v>
      </c>
      <c r="AS256" s="278"/>
      <c r="AT256" s="279"/>
      <c r="AU256" s="279"/>
      <c r="AV256" s="279"/>
    </row>
    <row r="257" spans="1:48" outlineLevel="1" x14ac:dyDescent="0.25">
      <c r="A257" s="4" t="s">
        <v>832</v>
      </c>
      <c r="B257" s="75"/>
      <c r="C257" s="25"/>
      <c r="D257" s="92"/>
      <c r="E257" s="110"/>
      <c r="F257" s="93">
        <f>D257*E257</f>
        <v>0</v>
      </c>
      <c r="G257" s="74">
        <f>H257-F257</f>
        <v>0</v>
      </c>
      <c r="H257" s="95">
        <f t="shared" si="172"/>
        <v>0</v>
      </c>
      <c r="I257" s="112"/>
      <c r="J257" s="57"/>
      <c r="K257" s="57"/>
      <c r="L257" s="57"/>
      <c r="M257" s="57"/>
      <c r="N257" s="57"/>
      <c r="O257" s="57"/>
      <c r="P257" s="68"/>
      <c r="Q257" s="58"/>
      <c r="R257" s="93">
        <f>P257*Q257</f>
        <v>0</v>
      </c>
      <c r="S257" s="74">
        <f>T257-R257</f>
        <v>0</v>
      </c>
      <c r="T257" s="95">
        <f t="shared" si="187"/>
        <v>0</v>
      </c>
      <c r="U257" s="112"/>
      <c r="V257" s="57"/>
      <c r="W257" s="57"/>
      <c r="X257" s="57"/>
      <c r="Y257" s="57"/>
      <c r="Z257" s="57"/>
      <c r="AA257" s="57"/>
      <c r="AB257" s="68"/>
      <c r="AC257" s="58"/>
      <c r="AD257" s="170">
        <f>P257*Q257</f>
        <v>0</v>
      </c>
      <c r="AE257" s="89">
        <f t="shared" si="182"/>
        <v>0</v>
      </c>
      <c r="AF257" s="216">
        <f t="shared" si="183"/>
        <v>0</v>
      </c>
      <c r="AG257" s="147"/>
      <c r="AH257" s="148"/>
      <c r="AI257" s="148"/>
      <c r="AJ257" s="148"/>
      <c r="AK257" s="148"/>
      <c r="AL257" s="148"/>
      <c r="AM257" s="148"/>
      <c r="AN257" s="149"/>
      <c r="AO257" s="150"/>
      <c r="AP257" s="76"/>
      <c r="AQ257" s="76"/>
      <c r="AR257" s="128"/>
      <c r="AS257" s="108"/>
      <c r="AT257" s="249"/>
      <c r="AU257" s="249"/>
      <c r="AV257" s="249"/>
    </row>
    <row r="258" spans="1:48" outlineLevel="1" x14ac:dyDescent="0.25">
      <c r="A258" s="4" t="s">
        <v>833</v>
      </c>
      <c r="B258" s="75"/>
      <c r="C258" s="25"/>
      <c r="D258" s="92"/>
      <c r="E258" s="110"/>
      <c r="F258" s="93">
        <f>D258*E258</f>
        <v>0</v>
      </c>
      <c r="G258" s="74">
        <f>H258-F258</f>
        <v>0</v>
      </c>
      <c r="H258" s="95">
        <f t="shared" si="172"/>
        <v>0</v>
      </c>
      <c r="I258" s="112"/>
      <c r="J258" s="57"/>
      <c r="K258" s="57"/>
      <c r="L258" s="57"/>
      <c r="M258" s="57"/>
      <c r="N258" s="57"/>
      <c r="O258" s="57"/>
      <c r="P258" s="68"/>
      <c r="Q258" s="58"/>
      <c r="R258" s="93">
        <f>P258*Q258</f>
        <v>0</v>
      </c>
      <c r="S258" s="74">
        <f>T258-R258</f>
        <v>0</v>
      </c>
      <c r="T258" s="95">
        <f t="shared" si="187"/>
        <v>0</v>
      </c>
      <c r="U258" s="112"/>
      <c r="V258" s="57"/>
      <c r="W258" s="57"/>
      <c r="X258" s="57"/>
      <c r="Y258" s="57"/>
      <c r="Z258" s="57"/>
      <c r="AA258" s="57"/>
      <c r="AB258" s="68"/>
      <c r="AC258" s="58"/>
      <c r="AD258" s="170">
        <f>P258*Q258</f>
        <v>0</v>
      </c>
      <c r="AE258" s="89">
        <f t="shared" si="182"/>
        <v>0</v>
      </c>
      <c r="AF258" s="216">
        <f t="shared" si="183"/>
        <v>0</v>
      </c>
      <c r="AG258" s="147"/>
      <c r="AH258" s="148"/>
      <c r="AI258" s="148"/>
      <c r="AJ258" s="148"/>
      <c r="AK258" s="148"/>
      <c r="AL258" s="148"/>
      <c r="AM258" s="148"/>
      <c r="AN258" s="149"/>
      <c r="AO258" s="150"/>
      <c r="AP258" s="76"/>
      <c r="AQ258" s="76"/>
      <c r="AR258" s="128"/>
      <c r="AS258" s="108"/>
      <c r="AT258" s="249"/>
      <c r="AU258" s="249"/>
      <c r="AV258" s="249"/>
    </row>
    <row r="259" spans="1:48" s="280" customFormat="1" ht="15.75" x14ac:dyDescent="0.25">
      <c r="A259" s="270" t="s">
        <v>711</v>
      </c>
      <c r="B259" s="271" t="s">
        <v>337</v>
      </c>
      <c r="C259" s="272"/>
      <c r="D259" s="273"/>
      <c r="E259" s="274"/>
      <c r="F259" s="276">
        <f>SUM(F260:F261)</f>
        <v>16000</v>
      </c>
      <c r="G259" s="265">
        <f t="shared" si="190"/>
        <v>0</v>
      </c>
      <c r="H259" s="275">
        <f t="shared" si="172"/>
        <v>16000</v>
      </c>
      <c r="I259" s="267">
        <f t="shared" ref="I259:Q259" si="216">SUM(I260:I261)</f>
        <v>0</v>
      </c>
      <c r="J259" s="268">
        <f t="shared" si="216"/>
        <v>0</v>
      </c>
      <c r="K259" s="268">
        <f t="shared" si="216"/>
        <v>0</v>
      </c>
      <c r="L259" s="268">
        <f t="shared" si="216"/>
        <v>0</v>
      </c>
      <c r="M259" s="268">
        <f t="shared" si="216"/>
        <v>0</v>
      </c>
      <c r="N259" s="268">
        <f t="shared" si="216"/>
        <v>0</v>
      </c>
      <c r="O259" s="268">
        <f t="shared" si="216"/>
        <v>0</v>
      </c>
      <c r="P259" s="268">
        <f t="shared" si="216"/>
        <v>0</v>
      </c>
      <c r="Q259" s="269">
        <f t="shared" si="216"/>
        <v>16000</v>
      </c>
      <c r="R259" s="276">
        <f>SUM(R260:R261)</f>
        <v>16000</v>
      </c>
      <c r="S259" s="265">
        <f t="shared" ref="S259:S274" si="217">T259-R259</f>
        <v>0</v>
      </c>
      <c r="T259" s="275">
        <f t="shared" si="187"/>
        <v>16000</v>
      </c>
      <c r="U259" s="267">
        <f t="shared" ref="U259:AC259" si="218">SUM(U260:U261)</f>
        <v>0</v>
      </c>
      <c r="V259" s="268">
        <f t="shared" si="218"/>
        <v>0</v>
      </c>
      <c r="W259" s="268">
        <f t="shared" si="218"/>
        <v>0</v>
      </c>
      <c r="X259" s="268">
        <f t="shared" si="218"/>
        <v>0</v>
      </c>
      <c r="Y259" s="268">
        <f t="shared" si="218"/>
        <v>0</v>
      </c>
      <c r="Z259" s="268">
        <f t="shared" si="218"/>
        <v>0</v>
      </c>
      <c r="AA259" s="268">
        <f t="shared" si="218"/>
        <v>0</v>
      </c>
      <c r="AB259" s="268">
        <f t="shared" si="218"/>
        <v>0</v>
      </c>
      <c r="AC259" s="269">
        <f t="shared" si="218"/>
        <v>16000</v>
      </c>
      <c r="AD259" s="276">
        <f>SUM(AD260:AD261)</f>
        <v>6055.16</v>
      </c>
      <c r="AE259" s="265">
        <f t="shared" si="182"/>
        <v>-6055.16</v>
      </c>
      <c r="AF259" s="266">
        <f t="shared" si="183"/>
        <v>0</v>
      </c>
      <c r="AG259" s="267">
        <f t="shared" ref="AG259:AO259" si="219">SUM(AG260:AG261)</f>
        <v>0</v>
      </c>
      <c r="AH259" s="268">
        <f t="shared" si="219"/>
        <v>0</v>
      </c>
      <c r="AI259" s="268">
        <f t="shared" si="219"/>
        <v>0</v>
      </c>
      <c r="AJ259" s="268">
        <f t="shared" si="219"/>
        <v>0</v>
      </c>
      <c r="AK259" s="268">
        <f t="shared" si="219"/>
        <v>0</v>
      </c>
      <c r="AL259" s="268">
        <f t="shared" si="219"/>
        <v>0</v>
      </c>
      <c r="AM259" s="268">
        <f t="shared" si="219"/>
        <v>0</v>
      </c>
      <c r="AN259" s="268">
        <f t="shared" si="219"/>
        <v>0</v>
      </c>
      <c r="AO259" s="269">
        <f t="shared" si="219"/>
        <v>0</v>
      </c>
      <c r="AP259" s="276">
        <f>49460-13200</f>
        <v>36260</v>
      </c>
      <c r="AQ259" s="276">
        <f>SUM(AQ260:AQ261)</f>
        <v>0</v>
      </c>
      <c r="AR259" s="277">
        <f>AQ259*100/AP259</f>
        <v>0</v>
      </c>
      <c r="AS259" s="278">
        <f t="shared" si="176"/>
        <v>1</v>
      </c>
      <c r="AT259" s="279">
        <f t="shared" si="177"/>
        <v>1</v>
      </c>
      <c r="AU259" s="279">
        <f t="shared" si="178"/>
        <v>0.37844749999999999</v>
      </c>
      <c r="AV259" s="279">
        <f t="shared" si="179"/>
        <v>0</v>
      </c>
    </row>
    <row r="260" spans="1:48" outlineLevel="1" x14ac:dyDescent="0.25">
      <c r="A260" s="4" t="s">
        <v>834</v>
      </c>
      <c r="B260" s="75" t="s">
        <v>337</v>
      </c>
      <c r="C260" s="25"/>
      <c r="D260" s="92">
        <v>1</v>
      </c>
      <c r="E260" s="110">
        <v>16000</v>
      </c>
      <c r="F260" s="93">
        <f>D260*E260</f>
        <v>16000</v>
      </c>
      <c r="G260" s="74">
        <f t="shared" si="190"/>
        <v>0</v>
      </c>
      <c r="H260" s="95">
        <f t="shared" si="172"/>
        <v>16000</v>
      </c>
      <c r="I260" s="112"/>
      <c r="J260" s="57"/>
      <c r="K260" s="57"/>
      <c r="L260" s="57"/>
      <c r="M260" s="57"/>
      <c r="N260" s="57"/>
      <c r="O260" s="57"/>
      <c r="P260" s="68"/>
      <c r="Q260" s="58">
        <v>16000</v>
      </c>
      <c r="R260" s="93">
        <v>16000</v>
      </c>
      <c r="S260" s="74">
        <f t="shared" si="217"/>
        <v>0</v>
      </c>
      <c r="T260" s="95">
        <f t="shared" si="187"/>
        <v>16000</v>
      </c>
      <c r="U260" s="112"/>
      <c r="V260" s="57"/>
      <c r="W260" s="57"/>
      <c r="X260" s="57"/>
      <c r="Y260" s="57"/>
      <c r="Z260" s="57"/>
      <c r="AA260" s="57"/>
      <c r="AB260" s="68"/>
      <c r="AC260" s="58">
        <v>16000</v>
      </c>
      <c r="AD260" s="215">
        <v>6055.16</v>
      </c>
      <c r="AE260" s="89">
        <f t="shared" si="182"/>
        <v>-6055.16</v>
      </c>
      <c r="AF260" s="216">
        <f t="shared" si="183"/>
        <v>0</v>
      </c>
      <c r="AG260" s="147"/>
      <c r="AH260" s="148"/>
      <c r="AI260" s="148"/>
      <c r="AJ260" s="148"/>
      <c r="AK260" s="148"/>
      <c r="AL260" s="148"/>
      <c r="AM260" s="148"/>
      <c r="AN260" s="149"/>
      <c r="AO260" s="150"/>
      <c r="AP260" s="76"/>
      <c r="AQ260" s="76"/>
      <c r="AR260" s="128"/>
      <c r="AS260" s="108">
        <f t="shared" si="176"/>
        <v>1</v>
      </c>
      <c r="AT260" s="249">
        <f t="shared" si="177"/>
        <v>1</v>
      </c>
      <c r="AU260" s="249">
        <f t="shared" si="178"/>
        <v>0.37844749999999999</v>
      </c>
      <c r="AV260" s="249">
        <f t="shared" si="179"/>
        <v>0</v>
      </c>
    </row>
    <row r="261" spans="1:48" outlineLevel="1" x14ac:dyDescent="0.25">
      <c r="A261" s="4" t="s">
        <v>835</v>
      </c>
      <c r="B261" s="75"/>
      <c r="C261" s="25"/>
      <c r="D261" s="92"/>
      <c r="E261" s="110"/>
      <c r="F261" s="93">
        <f>D261*E261</f>
        <v>0</v>
      </c>
      <c r="G261" s="74">
        <f t="shared" si="190"/>
        <v>0</v>
      </c>
      <c r="H261" s="95">
        <f t="shared" ref="H261:H271" si="220">SUM(I261:Q261)</f>
        <v>0</v>
      </c>
      <c r="I261" s="112"/>
      <c r="J261" s="57"/>
      <c r="K261" s="57"/>
      <c r="L261" s="57"/>
      <c r="M261" s="57"/>
      <c r="N261" s="57"/>
      <c r="O261" s="57"/>
      <c r="P261" s="68"/>
      <c r="Q261" s="58"/>
      <c r="R261" s="93">
        <f>P261*Q261</f>
        <v>0</v>
      </c>
      <c r="S261" s="74">
        <f t="shared" si="217"/>
        <v>0</v>
      </c>
      <c r="T261" s="95">
        <f t="shared" si="187"/>
        <v>0</v>
      </c>
      <c r="U261" s="112"/>
      <c r="V261" s="57"/>
      <c r="W261" s="57"/>
      <c r="X261" s="57"/>
      <c r="Y261" s="57"/>
      <c r="Z261" s="57"/>
      <c r="AA261" s="57"/>
      <c r="AB261" s="68"/>
      <c r="AC261" s="58"/>
      <c r="AD261" s="170">
        <f>P261*Q261</f>
        <v>0</v>
      </c>
      <c r="AE261" s="89">
        <f t="shared" si="182"/>
        <v>0</v>
      </c>
      <c r="AF261" s="216">
        <f t="shared" si="183"/>
        <v>0</v>
      </c>
      <c r="AG261" s="147"/>
      <c r="AH261" s="148"/>
      <c r="AI261" s="148"/>
      <c r="AJ261" s="148"/>
      <c r="AK261" s="148"/>
      <c r="AL261" s="148"/>
      <c r="AM261" s="148"/>
      <c r="AN261" s="149"/>
      <c r="AO261" s="150"/>
      <c r="AP261" s="76"/>
      <c r="AQ261" s="76"/>
      <c r="AR261" s="128"/>
      <c r="AS261" s="108"/>
      <c r="AT261" s="249"/>
      <c r="AU261" s="249"/>
      <c r="AV261" s="249"/>
    </row>
    <row r="262" spans="1:48" s="2" customFormat="1" ht="21" x14ac:dyDescent="0.35">
      <c r="A262" s="8" t="s">
        <v>236</v>
      </c>
      <c r="B262" s="12" t="s">
        <v>338</v>
      </c>
      <c r="C262" s="21"/>
      <c r="D262" s="22"/>
      <c r="E262" s="15"/>
      <c r="F262" s="84">
        <f>F263+F266+F269</f>
        <v>301294</v>
      </c>
      <c r="G262" s="89">
        <f t="shared" si="190"/>
        <v>0</v>
      </c>
      <c r="H262" s="16">
        <f t="shared" si="220"/>
        <v>301294</v>
      </c>
      <c r="I262" s="51">
        <f t="shared" ref="I262:R262" si="221">I263+I266+I269</f>
        <v>170512.86</v>
      </c>
      <c r="J262" s="51">
        <f t="shared" si="221"/>
        <v>0</v>
      </c>
      <c r="K262" s="51">
        <f t="shared" si="221"/>
        <v>0</v>
      </c>
      <c r="L262" s="51">
        <f t="shared" si="221"/>
        <v>17850</v>
      </c>
      <c r="M262" s="51">
        <f t="shared" si="221"/>
        <v>0</v>
      </c>
      <c r="N262" s="51">
        <f t="shared" si="221"/>
        <v>0</v>
      </c>
      <c r="O262" s="51">
        <f t="shared" si="221"/>
        <v>0</v>
      </c>
      <c r="P262" s="51">
        <f t="shared" si="221"/>
        <v>112931.14</v>
      </c>
      <c r="Q262" s="59">
        <f t="shared" si="221"/>
        <v>0</v>
      </c>
      <c r="R262" s="84">
        <f t="shared" si="221"/>
        <v>301294</v>
      </c>
      <c r="S262" s="89">
        <f t="shared" si="217"/>
        <v>0</v>
      </c>
      <c r="T262" s="16">
        <f t="shared" si="187"/>
        <v>301294</v>
      </c>
      <c r="U262" s="51">
        <f t="shared" ref="U262:AC262" si="222">U263+U266+U269</f>
        <v>170513</v>
      </c>
      <c r="V262" s="51">
        <f t="shared" si="222"/>
        <v>0</v>
      </c>
      <c r="W262" s="51">
        <f t="shared" si="222"/>
        <v>0</v>
      </c>
      <c r="X262" s="51">
        <f t="shared" si="222"/>
        <v>17850</v>
      </c>
      <c r="Y262" s="51">
        <f t="shared" si="222"/>
        <v>0</v>
      </c>
      <c r="Z262" s="51">
        <f t="shared" si="222"/>
        <v>0</v>
      </c>
      <c r="AA262" s="51">
        <f t="shared" si="222"/>
        <v>0</v>
      </c>
      <c r="AB262" s="51">
        <f t="shared" si="222"/>
        <v>112931</v>
      </c>
      <c r="AC262" s="59">
        <f t="shared" si="222"/>
        <v>0</v>
      </c>
      <c r="AD262" s="255">
        <f>AD263+AD266+AD269</f>
        <v>97422.22</v>
      </c>
      <c r="AE262" s="256">
        <f t="shared" si="182"/>
        <v>-97422.22</v>
      </c>
      <c r="AF262" s="257">
        <f t="shared" si="183"/>
        <v>0</v>
      </c>
      <c r="AG262" s="260">
        <f t="shared" ref="AG262:AO262" si="223">AG263+AG266+AG269</f>
        <v>0</v>
      </c>
      <c r="AH262" s="260">
        <f t="shared" si="223"/>
        <v>0</v>
      </c>
      <c r="AI262" s="260">
        <f t="shared" si="223"/>
        <v>0</v>
      </c>
      <c r="AJ262" s="260">
        <f t="shared" si="223"/>
        <v>0</v>
      </c>
      <c r="AK262" s="260">
        <f t="shared" si="223"/>
        <v>0</v>
      </c>
      <c r="AL262" s="260">
        <f t="shared" si="223"/>
        <v>0</v>
      </c>
      <c r="AM262" s="260">
        <f t="shared" si="223"/>
        <v>0</v>
      </c>
      <c r="AN262" s="260">
        <f t="shared" si="223"/>
        <v>0</v>
      </c>
      <c r="AO262" s="261">
        <f t="shared" si="223"/>
        <v>0</v>
      </c>
      <c r="AP262" s="32">
        <f>AP263+AP266+AP269</f>
        <v>301294</v>
      </c>
      <c r="AQ262" s="32">
        <f>AQ263+AQ266+AQ269</f>
        <v>274685.26</v>
      </c>
      <c r="AR262" s="126">
        <f>AQ262*100/AP262</f>
        <v>91.168513146627546</v>
      </c>
      <c r="AS262" s="108">
        <f t="shared" ref="AS262:AS324" si="224">+R262/F262</f>
        <v>1</v>
      </c>
      <c r="AT262" s="249">
        <f t="shared" ref="AT262:AT324" si="225">+T262/H262</f>
        <v>1</v>
      </c>
      <c r="AU262" s="249">
        <f t="shared" ref="AU262:AU324" si="226">+AD262/F262</f>
        <v>0.32334603410622181</v>
      </c>
      <c r="AV262" s="249">
        <f t="shared" ref="AV262:AV324" si="227">+AF262/H262</f>
        <v>0</v>
      </c>
    </row>
    <row r="263" spans="1:48" s="280" customFormat="1" ht="15.75" x14ac:dyDescent="0.25">
      <c r="A263" s="270" t="s">
        <v>237</v>
      </c>
      <c r="B263" s="271" t="s">
        <v>339</v>
      </c>
      <c r="C263" s="272"/>
      <c r="D263" s="273"/>
      <c r="E263" s="274"/>
      <c r="F263" s="264">
        <f>SUM(F264:F265)</f>
        <v>220295</v>
      </c>
      <c r="G263" s="265">
        <f t="shared" si="190"/>
        <v>0</v>
      </c>
      <c r="H263" s="275">
        <f t="shared" si="220"/>
        <v>220295</v>
      </c>
      <c r="I263" s="267">
        <f t="shared" ref="I263:Q263" si="228">SUM(I264:I265)</f>
        <v>89513.86</v>
      </c>
      <c r="J263" s="268">
        <f t="shared" si="228"/>
        <v>0</v>
      </c>
      <c r="K263" s="268">
        <f t="shared" si="228"/>
        <v>0</v>
      </c>
      <c r="L263" s="268">
        <f t="shared" si="228"/>
        <v>17850</v>
      </c>
      <c r="M263" s="268">
        <f t="shared" si="228"/>
        <v>0</v>
      </c>
      <c r="N263" s="268">
        <f t="shared" si="228"/>
        <v>0</v>
      </c>
      <c r="O263" s="268">
        <f t="shared" si="228"/>
        <v>0</v>
      </c>
      <c r="P263" s="268">
        <f t="shared" si="228"/>
        <v>112931.14</v>
      </c>
      <c r="Q263" s="269">
        <f t="shared" si="228"/>
        <v>0</v>
      </c>
      <c r="R263" s="264">
        <f>SUM(R264:R265)</f>
        <v>220295</v>
      </c>
      <c r="S263" s="265">
        <f t="shared" si="217"/>
        <v>0</v>
      </c>
      <c r="T263" s="275">
        <f t="shared" si="187"/>
        <v>220295</v>
      </c>
      <c r="U263" s="267">
        <f t="shared" ref="U263:AC263" si="229">SUM(U264:U265)</f>
        <v>89514</v>
      </c>
      <c r="V263" s="268">
        <f t="shared" si="229"/>
        <v>0</v>
      </c>
      <c r="W263" s="268">
        <f t="shared" si="229"/>
        <v>0</v>
      </c>
      <c r="X263" s="268">
        <f t="shared" si="229"/>
        <v>17850</v>
      </c>
      <c r="Y263" s="268">
        <f t="shared" si="229"/>
        <v>0</v>
      </c>
      <c r="Z263" s="268">
        <f t="shared" si="229"/>
        <v>0</v>
      </c>
      <c r="AA263" s="268">
        <f t="shared" si="229"/>
        <v>0</v>
      </c>
      <c r="AB263" s="268">
        <f t="shared" si="229"/>
        <v>112931</v>
      </c>
      <c r="AC263" s="269">
        <f t="shared" si="229"/>
        <v>0</v>
      </c>
      <c r="AD263" s="264">
        <f>SUM(AD264:AD265)</f>
        <v>74227.710000000006</v>
      </c>
      <c r="AE263" s="265">
        <f t="shared" si="182"/>
        <v>-74227.710000000006</v>
      </c>
      <c r="AF263" s="266">
        <f t="shared" si="183"/>
        <v>0</v>
      </c>
      <c r="AG263" s="267">
        <f t="shared" ref="AG263:AO263" si="230">SUM(AG264:AG265)</f>
        <v>0</v>
      </c>
      <c r="AH263" s="268">
        <f t="shared" si="230"/>
        <v>0</v>
      </c>
      <c r="AI263" s="268">
        <f t="shared" si="230"/>
        <v>0</v>
      </c>
      <c r="AJ263" s="268">
        <f t="shared" si="230"/>
        <v>0</v>
      </c>
      <c r="AK263" s="268">
        <f t="shared" si="230"/>
        <v>0</v>
      </c>
      <c r="AL263" s="268">
        <f t="shared" si="230"/>
        <v>0</v>
      </c>
      <c r="AM263" s="268">
        <f t="shared" si="230"/>
        <v>0</v>
      </c>
      <c r="AN263" s="268">
        <f t="shared" si="230"/>
        <v>0</v>
      </c>
      <c r="AO263" s="269">
        <f t="shared" si="230"/>
        <v>0</v>
      </c>
      <c r="AP263" s="276">
        <v>220295</v>
      </c>
      <c r="AQ263" s="276">
        <f>192713.35+8637.12</f>
        <v>201350.47</v>
      </c>
      <c r="AR263" s="277">
        <f>AQ263*100/AP263</f>
        <v>91.400381306883958</v>
      </c>
      <c r="AS263" s="278">
        <f t="shared" si="224"/>
        <v>1</v>
      </c>
      <c r="AT263" s="279">
        <f t="shared" si="225"/>
        <v>1</v>
      </c>
      <c r="AU263" s="279">
        <f t="shared" si="226"/>
        <v>0.33694686670146851</v>
      </c>
      <c r="AV263" s="279">
        <f t="shared" si="227"/>
        <v>0</v>
      </c>
    </row>
    <row r="264" spans="1:48" outlineLevel="1" x14ac:dyDescent="0.25">
      <c r="A264" s="4" t="s">
        <v>238</v>
      </c>
      <c r="B264" s="75" t="s">
        <v>339</v>
      </c>
      <c r="C264" s="25"/>
      <c r="D264" s="92">
        <v>1</v>
      </c>
      <c r="E264" s="110">
        <v>220295</v>
      </c>
      <c r="F264" s="93">
        <f t="shared" ref="F264:F273" si="231">D264*E264</f>
        <v>220295</v>
      </c>
      <c r="G264" s="74">
        <f t="shared" si="190"/>
        <v>0</v>
      </c>
      <c r="H264" s="95">
        <f t="shared" si="220"/>
        <v>220295</v>
      </c>
      <c r="I264" s="112">
        <f>F264-P264-10000-5173-2677</f>
        <v>89513.86</v>
      </c>
      <c r="J264" s="57"/>
      <c r="K264" s="57"/>
      <c r="L264" s="57">
        <v>17850</v>
      </c>
      <c r="M264" s="57"/>
      <c r="N264" s="57"/>
      <c r="O264" s="57"/>
      <c r="P264" s="68">
        <f>(F165+F215+F236+F360+F381+F405+F438+F464+F492+F512+F530+F594)*0.7</f>
        <v>112931.14</v>
      </c>
      <c r="Q264" s="58"/>
      <c r="R264" s="93">
        <v>220295</v>
      </c>
      <c r="S264" s="74">
        <f t="shared" si="217"/>
        <v>0</v>
      </c>
      <c r="T264" s="95">
        <f t="shared" si="187"/>
        <v>220295</v>
      </c>
      <c r="U264" s="112">
        <f>R264-AB264-10000-5173-2677</f>
        <v>89514</v>
      </c>
      <c r="V264" s="57"/>
      <c r="W264" s="57"/>
      <c r="X264" s="57">
        <v>17850</v>
      </c>
      <c r="Y264" s="57"/>
      <c r="Z264" s="57"/>
      <c r="AA264" s="57"/>
      <c r="AB264" s="68">
        <f>(R165+R215+R236+R360+R381+R405+R438+R464+R492+R512+R530+R594)*0.7</f>
        <v>112931</v>
      </c>
      <c r="AC264" s="58"/>
      <c r="AD264" s="170">
        <v>74227.710000000006</v>
      </c>
      <c r="AE264" s="89">
        <f t="shared" si="182"/>
        <v>-74227.710000000006</v>
      </c>
      <c r="AF264" s="216">
        <f t="shared" si="183"/>
        <v>0</v>
      </c>
      <c r="AG264" s="147"/>
      <c r="AH264" s="148"/>
      <c r="AI264" s="148"/>
      <c r="AJ264" s="148"/>
      <c r="AK264" s="148"/>
      <c r="AL264" s="148"/>
      <c r="AM264" s="148"/>
      <c r="AN264" s="149">
        <f>(O165+O215+O236+O360+O381+O405+O438+O464+O492+O512+O530+O594)*0.7</f>
        <v>0</v>
      </c>
      <c r="AO264" s="150"/>
      <c r="AP264" s="76"/>
      <c r="AQ264" s="76"/>
      <c r="AR264" s="128"/>
      <c r="AS264" s="108">
        <f t="shared" si="224"/>
        <v>1</v>
      </c>
      <c r="AT264" s="249">
        <f t="shared" si="225"/>
        <v>1</v>
      </c>
      <c r="AU264" s="249">
        <f t="shared" si="226"/>
        <v>0.33694686670146851</v>
      </c>
      <c r="AV264" s="249">
        <f t="shared" si="227"/>
        <v>0</v>
      </c>
    </row>
    <row r="265" spans="1:48" outlineLevel="1" x14ac:dyDescent="0.25">
      <c r="A265" s="4" t="s">
        <v>239</v>
      </c>
      <c r="B265" s="75" t="s">
        <v>646</v>
      </c>
      <c r="C265" s="25"/>
      <c r="D265" s="92"/>
      <c r="E265" s="110"/>
      <c r="F265" s="93">
        <f t="shared" si="231"/>
        <v>0</v>
      </c>
      <c r="G265" s="74">
        <f t="shared" si="190"/>
        <v>0</v>
      </c>
      <c r="H265" s="95">
        <f t="shared" si="220"/>
        <v>0</v>
      </c>
      <c r="I265" s="112"/>
      <c r="J265" s="57"/>
      <c r="K265" s="57"/>
      <c r="L265" s="57"/>
      <c r="M265" s="57"/>
      <c r="N265" s="57"/>
      <c r="O265" s="57"/>
      <c r="P265" s="68"/>
      <c r="Q265" s="58"/>
      <c r="R265" s="93">
        <f>P265*Q265</f>
        <v>0</v>
      </c>
      <c r="S265" s="74">
        <f t="shared" si="217"/>
        <v>0</v>
      </c>
      <c r="T265" s="95">
        <f t="shared" si="187"/>
        <v>0</v>
      </c>
      <c r="U265" s="112"/>
      <c r="V265" s="57"/>
      <c r="W265" s="57"/>
      <c r="X265" s="57"/>
      <c r="Y265" s="57"/>
      <c r="Z265" s="57"/>
      <c r="AA265" s="57"/>
      <c r="AB265" s="68"/>
      <c r="AC265" s="58"/>
      <c r="AD265" s="170">
        <f>P265*Q265</f>
        <v>0</v>
      </c>
      <c r="AE265" s="89">
        <f t="shared" si="182"/>
        <v>0</v>
      </c>
      <c r="AF265" s="216">
        <f t="shared" si="183"/>
        <v>0</v>
      </c>
      <c r="AG265" s="147"/>
      <c r="AH265" s="148"/>
      <c r="AI265" s="148"/>
      <c r="AJ265" s="148"/>
      <c r="AK265" s="148"/>
      <c r="AL265" s="148"/>
      <c r="AM265" s="148"/>
      <c r="AN265" s="149"/>
      <c r="AO265" s="150"/>
      <c r="AP265" s="76"/>
      <c r="AQ265" s="76"/>
      <c r="AR265" s="128"/>
      <c r="AS265" s="108"/>
      <c r="AT265" s="249"/>
      <c r="AU265" s="249"/>
      <c r="AV265" s="249"/>
    </row>
    <row r="266" spans="1:48" s="280" customFormat="1" ht="15.75" x14ac:dyDescent="0.25">
      <c r="A266" s="270" t="s">
        <v>240</v>
      </c>
      <c r="B266" s="271" t="s">
        <v>340</v>
      </c>
      <c r="C266" s="272"/>
      <c r="D266" s="273"/>
      <c r="E266" s="274"/>
      <c r="F266" s="264">
        <f>SUM(F267:F268)</f>
        <v>35539</v>
      </c>
      <c r="G266" s="265">
        <f t="shared" si="190"/>
        <v>0</v>
      </c>
      <c r="H266" s="275">
        <f t="shared" si="220"/>
        <v>35539</v>
      </c>
      <c r="I266" s="267">
        <f t="shared" ref="I266:R266" si="232">SUM(I267:I268)</f>
        <v>35539</v>
      </c>
      <c r="J266" s="268">
        <f t="shared" si="232"/>
        <v>0</v>
      </c>
      <c r="K266" s="268">
        <f t="shared" si="232"/>
        <v>0</v>
      </c>
      <c r="L266" s="268">
        <f t="shared" si="232"/>
        <v>0</v>
      </c>
      <c r="M266" s="268">
        <f t="shared" si="232"/>
        <v>0</v>
      </c>
      <c r="N266" s="268">
        <f t="shared" si="232"/>
        <v>0</v>
      </c>
      <c r="O266" s="268">
        <f t="shared" si="232"/>
        <v>0</v>
      </c>
      <c r="P266" s="268">
        <f t="shared" si="232"/>
        <v>0</v>
      </c>
      <c r="Q266" s="269">
        <f t="shared" si="232"/>
        <v>0</v>
      </c>
      <c r="R266" s="264">
        <f t="shared" si="232"/>
        <v>35539</v>
      </c>
      <c r="S266" s="265">
        <f t="shared" si="217"/>
        <v>0</v>
      </c>
      <c r="T266" s="275">
        <f t="shared" si="187"/>
        <v>35539</v>
      </c>
      <c r="U266" s="267">
        <f t="shared" ref="U266:AC266" si="233">SUM(U267:U268)</f>
        <v>35539</v>
      </c>
      <c r="V266" s="268">
        <f t="shared" si="233"/>
        <v>0</v>
      </c>
      <c r="W266" s="268">
        <f t="shared" si="233"/>
        <v>0</v>
      </c>
      <c r="X266" s="268">
        <f t="shared" si="233"/>
        <v>0</v>
      </c>
      <c r="Y266" s="268">
        <f t="shared" si="233"/>
        <v>0</v>
      </c>
      <c r="Z266" s="268">
        <f t="shared" si="233"/>
        <v>0</v>
      </c>
      <c r="AA266" s="268">
        <f t="shared" si="233"/>
        <v>0</v>
      </c>
      <c r="AB266" s="268">
        <f t="shared" si="233"/>
        <v>0</v>
      </c>
      <c r="AC266" s="269">
        <f t="shared" si="233"/>
        <v>0</v>
      </c>
      <c r="AD266" s="264">
        <f>SUM(AD267:AD268)</f>
        <v>11998.26</v>
      </c>
      <c r="AE266" s="265">
        <f t="shared" si="182"/>
        <v>-11998.26</v>
      </c>
      <c r="AF266" s="266">
        <f t="shared" si="183"/>
        <v>0</v>
      </c>
      <c r="AG266" s="267">
        <f t="shared" ref="AG266:AO266" si="234">SUM(AG267:AG268)</f>
        <v>0</v>
      </c>
      <c r="AH266" s="268">
        <f t="shared" si="234"/>
        <v>0</v>
      </c>
      <c r="AI266" s="268">
        <f t="shared" si="234"/>
        <v>0</v>
      </c>
      <c r="AJ266" s="268">
        <f t="shared" si="234"/>
        <v>0</v>
      </c>
      <c r="AK266" s="268">
        <f t="shared" si="234"/>
        <v>0</v>
      </c>
      <c r="AL266" s="268">
        <f t="shared" si="234"/>
        <v>0</v>
      </c>
      <c r="AM266" s="268">
        <f t="shared" si="234"/>
        <v>0</v>
      </c>
      <c r="AN266" s="268">
        <f t="shared" si="234"/>
        <v>0</v>
      </c>
      <c r="AO266" s="269">
        <f t="shared" si="234"/>
        <v>0</v>
      </c>
      <c r="AP266" s="276">
        <v>35539</v>
      </c>
      <c r="AQ266" s="276">
        <f>31491.29+1297.79</f>
        <v>32789.08</v>
      </c>
      <c r="AR266" s="277">
        <f>AQ266*100/AP266</f>
        <v>92.262247108810044</v>
      </c>
      <c r="AS266" s="278">
        <f t="shared" si="224"/>
        <v>1</v>
      </c>
      <c r="AT266" s="279">
        <f t="shared" si="225"/>
        <v>1</v>
      </c>
      <c r="AU266" s="279">
        <f t="shared" si="226"/>
        <v>0.33760826134668953</v>
      </c>
      <c r="AV266" s="279">
        <f t="shared" si="227"/>
        <v>0</v>
      </c>
    </row>
    <row r="267" spans="1:48" outlineLevel="1" x14ac:dyDescent="0.25">
      <c r="A267" s="4" t="s">
        <v>241</v>
      </c>
      <c r="B267" s="75" t="s">
        <v>645</v>
      </c>
      <c r="C267" s="25"/>
      <c r="D267" s="92">
        <v>1</v>
      </c>
      <c r="E267" s="110">
        <v>35539</v>
      </c>
      <c r="F267" s="93">
        <f t="shared" si="231"/>
        <v>35539</v>
      </c>
      <c r="G267" s="74">
        <f t="shared" si="190"/>
        <v>0</v>
      </c>
      <c r="H267" s="95">
        <f t="shared" si="220"/>
        <v>35539</v>
      </c>
      <c r="I267" s="112">
        <f>F267</f>
        <v>35539</v>
      </c>
      <c r="J267" s="57"/>
      <c r="K267" s="57"/>
      <c r="L267" s="57"/>
      <c r="M267" s="57"/>
      <c r="N267" s="57"/>
      <c r="O267" s="57"/>
      <c r="P267" s="68"/>
      <c r="Q267" s="58"/>
      <c r="R267" s="93">
        <v>35539</v>
      </c>
      <c r="S267" s="74">
        <f t="shared" si="217"/>
        <v>0</v>
      </c>
      <c r="T267" s="95">
        <f t="shared" si="187"/>
        <v>35539</v>
      </c>
      <c r="U267" s="112">
        <f>R267</f>
        <v>35539</v>
      </c>
      <c r="V267" s="57"/>
      <c r="W267" s="57"/>
      <c r="X267" s="57"/>
      <c r="Y267" s="57"/>
      <c r="Z267" s="57"/>
      <c r="AA267" s="57"/>
      <c r="AB267" s="68"/>
      <c r="AC267" s="58"/>
      <c r="AD267" s="170">
        <v>11998.26</v>
      </c>
      <c r="AE267" s="89">
        <f t="shared" si="182"/>
        <v>-11998.26</v>
      </c>
      <c r="AF267" s="216">
        <f t="shared" si="183"/>
        <v>0</v>
      </c>
      <c r="AG267" s="147">
        <f>Q267</f>
        <v>0</v>
      </c>
      <c r="AH267" s="148"/>
      <c r="AI267" s="148"/>
      <c r="AJ267" s="148"/>
      <c r="AK267" s="148"/>
      <c r="AL267" s="148"/>
      <c r="AM267" s="148"/>
      <c r="AN267" s="149"/>
      <c r="AO267" s="150"/>
      <c r="AP267" s="76"/>
      <c r="AQ267" s="76"/>
      <c r="AR267" s="128"/>
      <c r="AS267" s="108">
        <f t="shared" si="224"/>
        <v>1</v>
      </c>
      <c r="AT267" s="249">
        <f t="shared" si="225"/>
        <v>1</v>
      </c>
      <c r="AU267" s="249">
        <f t="shared" si="226"/>
        <v>0.33760826134668953</v>
      </c>
      <c r="AV267" s="249">
        <f t="shared" si="227"/>
        <v>0</v>
      </c>
    </row>
    <row r="268" spans="1:48" outlineLevel="1" x14ac:dyDescent="0.25">
      <c r="A268" s="4" t="s">
        <v>242</v>
      </c>
      <c r="B268" s="75" t="s">
        <v>642</v>
      </c>
      <c r="C268" s="25"/>
      <c r="D268" s="92"/>
      <c r="E268" s="110"/>
      <c r="F268" s="93">
        <f t="shared" si="231"/>
        <v>0</v>
      </c>
      <c r="G268" s="74">
        <f t="shared" si="190"/>
        <v>0</v>
      </c>
      <c r="H268" s="95">
        <f t="shared" si="220"/>
        <v>0</v>
      </c>
      <c r="I268" s="112"/>
      <c r="J268" s="57"/>
      <c r="K268" s="57"/>
      <c r="L268" s="57"/>
      <c r="M268" s="57"/>
      <c r="N268" s="57"/>
      <c r="O268" s="57"/>
      <c r="P268" s="68"/>
      <c r="Q268" s="58"/>
      <c r="R268" s="93">
        <f>P268*Q268</f>
        <v>0</v>
      </c>
      <c r="S268" s="74">
        <f t="shared" si="217"/>
        <v>0</v>
      </c>
      <c r="T268" s="95">
        <f t="shared" si="187"/>
        <v>0</v>
      </c>
      <c r="U268" s="112"/>
      <c r="V268" s="57"/>
      <c r="W268" s="57"/>
      <c r="X268" s="57"/>
      <c r="Y268" s="57"/>
      <c r="Z268" s="57"/>
      <c r="AA268" s="57"/>
      <c r="AB268" s="68"/>
      <c r="AC268" s="58"/>
      <c r="AD268" s="170">
        <f>P268*Q268</f>
        <v>0</v>
      </c>
      <c r="AE268" s="89">
        <f t="shared" ref="AE268:AE329" si="235">AF268-AD268</f>
        <v>0</v>
      </c>
      <c r="AF268" s="216">
        <f t="shared" ref="AF268:AF329" si="236">+AG268+AH268+AI268+AJ268+AK268+AL268+AM268+AN268+AO268</f>
        <v>0</v>
      </c>
      <c r="AG268" s="147"/>
      <c r="AH268" s="148"/>
      <c r="AI268" s="148"/>
      <c r="AJ268" s="148"/>
      <c r="AK268" s="148"/>
      <c r="AL268" s="148"/>
      <c r="AM268" s="148"/>
      <c r="AN268" s="149"/>
      <c r="AO268" s="150"/>
      <c r="AP268" s="76"/>
      <c r="AQ268" s="76"/>
      <c r="AR268" s="128"/>
      <c r="AS268" s="108"/>
      <c r="AT268" s="249"/>
      <c r="AU268" s="249"/>
      <c r="AV268" s="249"/>
    </row>
    <row r="269" spans="1:48" s="280" customFormat="1" ht="15.75" x14ac:dyDescent="0.25">
      <c r="A269" s="270" t="s">
        <v>243</v>
      </c>
      <c r="B269" s="271" t="s">
        <v>341</v>
      </c>
      <c r="C269" s="272"/>
      <c r="D269" s="273"/>
      <c r="E269" s="274"/>
      <c r="F269" s="264">
        <f t="shared" ref="F269:Q269" si="237">SUM(F270:F273)</f>
        <v>45460</v>
      </c>
      <c r="G269" s="265">
        <f t="shared" si="190"/>
        <v>0</v>
      </c>
      <c r="H269" s="275">
        <f t="shared" si="220"/>
        <v>45460</v>
      </c>
      <c r="I269" s="267">
        <f t="shared" si="237"/>
        <v>45460</v>
      </c>
      <c r="J269" s="268">
        <f t="shared" si="237"/>
        <v>0</v>
      </c>
      <c r="K269" s="268">
        <f t="shared" si="237"/>
        <v>0</v>
      </c>
      <c r="L269" s="268">
        <f t="shared" si="237"/>
        <v>0</v>
      </c>
      <c r="M269" s="268">
        <f t="shared" si="237"/>
        <v>0</v>
      </c>
      <c r="N269" s="268">
        <f t="shared" si="237"/>
        <v>0</v>
      </c>
      <c r="O269" s="268">
        <f t="shared" si="237"/>
        <v>0</v>
      </c>
      <c r="P269" s="268">
        <f t="shared" si="237"/>
        <v>0</v>
      </c>
      <c r="Q269" s="269">
        <f t="shared" si="237"/>
        <v>0</v>
      </c>
      <c r="R269" s="264">
        <f>SUM(R270:R274)</f>
        <v>45460</v>
      </c>
      <c r="S269" s="265">
        <f t="shared" si="217"/>
        <v>0</v>
      </c>
      <c r="T269" s="275">
        <f t="shared" si="187"/>
        <v>45460</v>
      </c>
      <c r="U269" s="267">
        <f>SUM(U270:U274)</f>
        <v>45460</v>
      </c>
      <c r="V269" s="267">
        <f t="shared" ref="V269:AC269" si="238">SUM(V270:V274)</f>
        <v>0</v>
      </c>
      <c r="W269" s="267">
        <f t="shared" si="238"/>
        <v>0</v>
      </c>
      <c r="X269" s="267">
        <f t="shared" si="238"/>
        <v>0</v>
      </c>
      <c r="Y269" s="267">
        <f t="shared" si="238"/>
        <v>0</v>
      </c>
      <c r="Z269" s="267">
        <f t="shared" si="238"/>
        <v>0</v>
      </c>
      <c r="AA269" s="267">
        <f t="shared" si="238"/>
        <v>0</v>
      </c>
      <c r="AB269" s="267">
        <f t="shared" si="238"/>
        <v>0</v>
      </c>
      <c r="AC269" s="267">
        <f t="shared" si="238"/>
        <v>0</v>
      </c>
      <c r="AD269" s="264">
        <f>SUM(AD270:AD274)</f>
        <v>11196.25</v>
      </c>
      <c r="AE269" s="265">
        <f t="shared" si="235"/>
        <v>-11196.25</v>
      </c>
      <c r="AF269" s="266">
        <f t="shared" si="236"/>
        <v>0</v>
      </c>
      <c r="AG269" s="264">
        <f>SUM(AG270:AG274)</f>
        <v>0</v>
      </c>
      <c r="AH269" s="264">
        <f t="shared" ref="AH269:AO269" si="239">SUM(AH270:AH274)</f>
        <v>0</v>
      </c>
      <c r="AI269" s="264">
        <f t="shared" si="239"/>
        <v>0</v>
      </c>
      <c r="AJ269" s="264">
        <f t="shared" si="239"/>
        <v>0</v>
      </c>
      <c r="AK269" s="264">
        <f t="shared" si="239"/>
        <v>0</v>
      </c>
      <c r="AL269" s="264">
        <f t="shared" si="239"/>
        <v>0</v>
      </c>
      <c r="AM269" s="264">
        <f t="shared" si="239"/>
        <v>0</v>
      </c>
      <c r="AN269" s="264">
        <f t="shared" si="239"/>
        <v>0</v>
      </c>
      <c r="AO269" s="264">
        <f t="shared" si="239"/>
        <v>0</v>
      </c>
      <c r="AP269" s="276">
        <f>41260+4200</f>
        <v>45460</v>
      </c>
      <c r="AQ269" s="276">
        <f>28453.36+224.96+8767.39+3100</f>
        <v>40545.71</v>
      </c>
      <c r="AR269" s="277">
        <f>AQ269*100/AP269</f>
        <v>89.189859216893979</v>
      </c>
      <c r="AS269" s="278">
        <f t="shared" si="224"/>
        <v>1</v>
      </c>
      <c r="AT269" s="279">
        <f t="shared" si="225"/>
        <v>1</v>
      </c>
      <c r="AU269" s="279">
        <f t="shared" si="226"/>
        <v>0.24628794544654642</v>
      </c>
      <c r="AV269" s="279">
        <f t="shared" si="227"/>
        <v>0</v>
      </c>
    </row>
    <row r="270" spans="1:48" outlineLevel="1" x14ac:dyDescent="0.25">
      <c r="A270" s="4" t="s">
        <v>244</v>
      </c>
      <c r="B270" s="75" t="s">
        <v>643</v>
      </c>
      <c r="C270" s="25"/>
      <c r="D270" s="92">
        <v>1</v>
      </c>
      <c r="E270" s="110">
        <v>16000</v>
      </c>
      <c r="F270" s="93">
        <f t="shared" si="231"/>
        <v>16000</v>
      </c>
      <c r="G270" s="74">
        <f t="shared" si="190"/>
        <v>0</v>
      </c>
      <c r="H270" s="95">
        <f t="shared" si="220"/>
        <v>16000</v>
      </c>
      <c r="I270" s="112">
        <f>F270</f>
        <v>16000</v>
      </c>
      <c r="J270" s="57"/>
      <c r="K270" s="57"/>
      <c r="L270" s="57"/>
      <c r="M270" s="57"/>
      <c r="N270" s="57"/>
      <c r="O270" s="57"/>
      <c r="P270" s="68"/>
      <c r="Q270" s="58"/>
      <c r="R270" s="93">
        <v>16000</v>
      </c>
      <c r="S270" s="74">
        <f t="shared" si="217"/>
        <v>0</v>
      </c>
      <c r="T270" s="95">
        <f t="shared" si="187"/>
        <v>16000</v>
      </c>
      <c r="U270" s="112">
        <f>R270</f>
        <v>16000</v>
      </c>
      <c r="V270" s="57"/>
      <c r="W270" s="57"/>
      <c r="X270" s="57"/>
      <c r="Y270" s="57"/>
      <c r="Z270" s="57"/>
      <c r="AA270" s="57"/>
      <c r="AB270" s="68"/>
      <c r="AC270" s="58"/>
      <c r="AD270" s="170">
        <v>5355</v>
      </c>
      <c r="AE270" s="89">
        <f t="shared" si="235"/>
        <v>-5355</v>
      </c>
      <c r="AF270" s="216">
        <f t="shared" si="236"/>
        <v>0</v>
      </c>
      <c r="AG270" s="147">
        <f>Q270</f>
        <v>0</v>
      </c>
      <c r="AH270" s="148"/>
      <c r="AI270" s="148"/>
      <c r="AJ270" s="148"/>
      <c r="AK270" s="148"/>
      <c r="AL270" s="148"/>
      <c r="AM270" s="148"/>
      <c r="AN270" s="149"/>
      <c r="AO270" s="150"/>
      <c r="AP270" s="76"/>
      <c r="AQ270" s="76"/>
      <c r="AR270" s="128"/>
      <c r="AS270" s="108">
        <f t="shared" si="224"/>
        <v>1</v>
      </c>
      <c r="AT270" s="249">
        <f t="shared" si="225"/>
        <v>1</v>
      </c>
      <c r="AU270" s="249">
        <f t="shared" si="226"/>
        <v>0.33468750000000003</v>
      </c>
      <c r="AV270" s="249">
        <f t="shared" si="227"/>
        <v>0</v>
      </c>
    </row>
    <row r="271" spans="1:48" outlineLevel="1" x14ac:dyDescent="0.25">
      <c r="A271" s="4" t="s">
        <v>245</v>
      </c>
      <c r="B271" s="75" t="s">
        <v>644</v>
      </c>
      <c r="C271" s="25"/>
      <c r="D271" s="92">
        <v>1</v>
      </c>
      <c r="E271" s="110">
        <v>15200</v>
      </c>
      <c r="F271" s="93">
        <f t="shared" si="231"/>
        <v>15200</v>
      </c>
      <c r="G271" s="74">
        <f t="shared" si="190"/>
        <v>0</v>
      </c>
      <c r="H271" s="95">
        <f t="shared" si="220"/>
        <v>15200</v>
      </c>
      <c r="I271" s="112">
        <f>F271</f>
        <v>15200</v>
      </c>
      <c r="J271" s="57"/>
      <c r="K271" s="57"/>
      <c r="L271" s="57"/>
      <c r="M271" s="57"/>
      <c r="N271" s="57"/>
      <c r="O271" s="57"/>
      <c r="P271" s="68"/>
      <c r="Q271" s="58"/>
      <c r="R271" s="93">
        <v>15200</v>
      </c>
      <c r="S271" s="74">
        <f t="shared" si="217"/>
        <v>0</v>
      </c>
      <c r="T271" s="95">
        <f t="shared" si="187"/>
        <v>15200</v>
      </c>
      <c r="U271" s="112">
        <f>R271</f>
        <v>15200</v>
      </c>
      <c r="V271" s="57"/>
      <c r="W271" s="57"/>
      <c r="X271" s="57"/>
      <c r="Y271" s="57"/>
      <c r="Z271" s="57"/>
      <c r="AA271" s="57"/>
      <c r="AB271" s="68"/>
      <c r="AC271" s="58"/>
      <c r="AD271" s="170">
        <v>4588.8900000000003</v>
      </c>
      <c r="AE271" s="89">
        <f t="shared" si="235"/>
        <v>-4588.8900000000003</v>
      </c>
      <c r="AF271" s="216">
        <f t="shared" si="236"/>
        <v>0</v>
      </c>
      <c r="AG271" s="147">
        <f>Q271</f>
        <v>0</v>
      </c>
      <c r="AH271" s="148"/>
      <c r="AI271" s="148"/>
      <c r="AJ271" s="148"/>
      <c r="AK271" s="148"/>
      <c r="AL271" s="148"/>
      <c r="AM271" s="148"/>
      <c r="AN271" s="149"/>
      <c r="AO271" s="150"/>
      <c r="AP271" s="76"/>
      <c r="AQ271" s="76"/>
      <c r="AR271" s="128"/>
      <c r="AS271" s="108">
        <f t="shared" si="224"/>
        <v>1</v>
      </c>
      <c r="AT271" s="249">
        <f t="shared" si="225"/>
        <v>1</v>
      </c>
      <c r="AU271" s="249">
        <f t="shared" si="226"/>
        <v>0.30190065789473686</v>
      </c>
      <c r="AV271" s="249">
        <f t="shared" si="227"/>
        <v>0</v>
      </c>
    </row>
    <row r="272" spans="1:48" outlineLevel="1" x14ac:dyDescent="0.25">
      <c r="A272" s="4" t="s">
        <v>647</v>
      </c>
      <c r="B272" s="75" t="s">
        <v>641</v>
      </c>
      <c r="C272" s="25"/>
      <c r="D272" s="92">
        <v>1</v>
      </c>
      <c r="E272" s="110">
        <v>10000</v>
      </c>
      <c r="F272" s="93">
        <f t="shared" si="231"/>
        <v>10000</v>
      </c>
      <c r="G272" s="74"/>
      <c r="H272" s="95"/>
      <c r="I272" s="112">
        <v>10000</v>
      </c>
      <c r="J272" s="57"/>
      <c r="K272" s="57"/>
      <c r="L272" s="57"/>
      <c r="M272" s="57"/>
      <c r="N272" s="57"/>
      <c r="O272" s="57"/>
      <c r="P272" s="68"/>
      <c r="Q272" s="58"/>
      <c r="R272" s="93">
        <v>10000</v>
      </c>
      <c r="S272" s="74">
        <f t="shared" si="217"/>
        <v>0</v>
      </c>
      <c r="T272" s="95">
        <f t="shared" si="187"/>
        <v>10000</v>
      </c>
      <c r="U272" s="112">
        <v>10000</v>
      </c>
      <c r="V272" s="57"/>
      <c r="W272" s="57"/>
      <c r="X272" s="57"/>
      <c r="Y272" s="57"/>
      <c r="Z272" s="57"/>
      <c r="AA272" s="57"/>
      <c r="AB272" s="68"/>
      <c r="AC272" s="58"/>
      <c r="AD272" s="170">
        <f>P272*Q272</f>
        <v>0</v>
      </c>
      <c r="AE272" s="89">
        <f t="shared" si="235"/>
        <v>0</v>
      </c>
      <c r="AF272" s="216">
        <f t="shared" si="236"/>
        <v>0</v>
      </c>
      <c r="AG272" s="147"/>
      <c r="AH272" s="148"/>
      <c r="AI272" s="148"/>
      <c r="AJ272" s="148"/>
      <c r="AK272" s="148"/>
      <c r="AL272" s="148"/>
      <c r="AM272" s="148"/>
      <c r="AN272" s="149"/>
      <c r="AO272" s="150"/>
      <c r="AP272" s="76"/>
      <c r="AQ272" s="76"/>
      <c r="AR272" s="128"/>
      <c r="AS272" s="108">
        <f t="shared" si="224"/>
        <v>1</v>
      </c>
      <c r="AT272" s="249"/>
      <c r="AU272" s="249">
        <f t="shared" si="226"/>
        <v>0</v>
      </c>
      <c r="AV272" s="249"/>
    </row>
    <row r="273" spans="1:48" outlineLevel="1" x14ac:dyDescent="0.25">
      <c r="A273" s="4" t="s">
        <v>959</v>
      </c>
      <c r="B273" s="75" t="s">
        <v>894</v>
      </c>
      <c r="C273" s="25"/>
      <c r="D273" s="92">
        <v>1</v>
      </c>
      <c r="E273" s="110">
        <v>4260</v>
      </c>
      <c r="F273" s="93">
        <f t="shared" si="231"/>
        <v>4260</v>
      </c>
      <c r="G273" s="74">
        <f t="shared" si="190"/>
        <v>0</v>
      </c>
      <c r="H273" s="95">
        <f t="shared" ref="H273:H338" si="240">SUM(I273:Q273)</f>
        <v>4260</v>
      </c>
      <c r="I273" s="112">
        <f>F273</f>
        <v>4260</v>
      </c>
      <c r="J273" s="57"/>
      <c r="K273" s="57"/>
      <c r="L273" s="57"/>
      <c r="M273" s="57"/>
      <c r="N273" s="57"/>
      <c r="O273" s="57"/>
      <c r="P273" s="68"/>
      <c r="Q273" s="58"/>
      <c r="R273" s="93">
        <v>4260</v>
      </c>
      <c r="S273" s="74">
        <f t="shared" si="217"/>
        <v>0</v>
      </c>
      <c r="T273" s="95">
        <f>SUM(U273:AC273)</f>
        <v>4260</v>
      </c>
      <c r="U273" s="112">
        <f>R273</f>
        <v>4260</v>
      </c>
      <c r="V273" s="57"/>
      <c r="W273" s="57"/>
      <c r="X273" s="57"/>
      <c r="Y273" s="57"/>
      <c r="Z273" s="57"/>
      <c r="AA273" s="57"/>
      <c r="AB273" s="68"/>
      <c r="AC273" s="58"/>
      <c r="AD273" s="170">
        <v>991.67</v>
      </c>
      <c r="AE273" s="89">
        <f t="shared" si="235"/>
        <v>-991.67</v>
      </c>
      <c r="AF273" s="216">
        <f t="shared" si="236"/>
        <v>0</v>
      </c>
      <c r="AG273" s="147">
        <f>Q273</f>
        <v>0</v>
      </c>
      <c r="AH273" s="148"/>
      <c r="AI273" s="148"/>
      <c r="AJ273" s="148"/>
      <c r="AK273" s="148"/>
      <c r="AL273" s="148"/>
      <c r="AM273" s="148"/>
      <c r="AN273" s="149"/>
      <c r="AO273" s="150"/>
      <c r="AP273" s="76"/>
      <c r="AQ273" s="76"/>
      <c r="AR273" s="128"/>
      <c r="AS273" s="108">
        <f t="shared" si="224"/>
        <v>1</v>
      </c>
      <c r="AT273" s="249">
        <f t="shared" si="225"/>
        <v>1</v>
      </c>
      <c r="AU273" s="249">
        <f t="shared" si="226"/>
        <v>0.23278638497652582</v>
      </c>
      <c r="AV273" s="249">
        <f t="shared" si="227"/>
        <v>0</v>
      </c>
    </row>
    <row r="274" spans="1:48" outlineLevel="1" x14ac:dyDescent="0.25">
      <c r="A274" s="4" t="s">
        <v>1006</v>
      </c>
      <c r="B274" s="75" t="s">
        <v>1018</v>
      </c>
      <c r="C274" s="25"/>
      <c r="D274" s="92"/>
      <c r="E274" s="110"/>
      <c r="F274" s="93"/>
      <c r="G274" s="94"/>
      <c r="H274" s="95"/>
      <c r="I274" s="112"/>
      <c r="J274" s="57"/>
      <c r="K274" s="57"/>
      <c r="L274" s="57"/>
      <c r="M274" s="57"/>
      <c r="N274" s="57"/>
      <c r="O274" s="57"/>
      <c r="P274" s="68"/>
      <c r="Q274" s="58"/>
      <c r="R274" s="93"/>
      <c r="S274" s="74">
        <f t="shared" si="217"/>
        <v>0</v>
      </c>
      <c r="T274" s="95"/>
      <c r="U274" s="112"/>
      <c r="V274" s="57"/>
      <c r="W274" s="57"/>
      <c r="X274" s="57"/>
      <c r="Y274" s="57"/>
      <c r="Z274" s="57"/>
      <c r="AA274" s="57"/>
      <c r="AB274" s="68"/>
      <c r="AC274" s="58"/>
      <c r="AD274" s="93">
        <v>260.69</v>
      </c>
      <c r="AE274" s="89">
        <f t="shared" si="235"/>
        <v>-260.69</v>
      </c>
      <c r="AF274" s="237">
        <f t="shared" si="236"/>
        <v>0</v>
      </c>
      <c r="AG274" s="112"/>
      <c r="AH274" s="57"/>
      <c r="AI274" s="57"/>
      <c r="AJ274" s="57"/>
      <c r="AK274" s="57"/>
      <c r="AL274" s="57"/>
      <c r="AM274" s="57"/>
      <c r="AN274" s="68"/>
      <c r="AO274" s="58"/>
      <c r="AP274" s="176"/>
      <c r="AQ274" s="176"/>
      <c r="AR274" s="177"/>
      <c r="AS274" s="108"/>
      <c r="AT274" s="249"/>
      <c r="AU274" s="249"/>
      <c r="AV274" s="249"/>
    </row>
    <row r="275" spans="1:48" s="2" customFormat="1" ht="21" x14ac:dyDescent="0.35">
      <c r="A275" s="8" t="s">
        <v>246</v>
      </c>
      <c r="B275" s="12" t="s">
        <v>522</v>
      </c>
      <c r="C275" s="21"/>
      <c r="D275" s="22"/>
      <c r="E275" s="22"/>
      <c r="F275" s="84">
        <f>F276+F281+F285+F288+F293+F298+F302+F305+F308+F312+F317+F318+F319+F320+F321+F322+F323+F324+F325+F326+F327+F328</f>
        <v>49864.999999999993</v>
      </c>
      <c r="G275" s="89">
        <f t="shared" si="190"/>
        <v>-5.9999999866704457E-3</v>
      </c>
      <c r="H275" s="16">
        <f t="shared" si="240"/>
        <v>49864.994000000006</v>
      </c>
      <c r="I275" s="51">
        <f t="shared" ref="I275:R275" si="241">I276+I281+I285+I288+I293+I298+I302+I305+I308+I312+I317+I318+I319+I320+I321+I322+I323+I324+I325+I326+I327+I328</f>
        <v>40900.002000000008</v>
      </c>
      <c r="J275" s="52">
        <f t="shared" si="241"/>
        <v>4500</v>
      </c>
      <c r="K275" s="52">
        <f t="shared" si="241"/>
        <v>4464.9919999999993</v>
      </c>
      <c r="L275" s="52">
        <f t="shared" si="241"/>
        <v>0</v>
      </c>
      <c r="M275" s="52">
        <f t="shared" si="241"/>
        <v>0</v>
      </c>
      <c r="N275" s="52">
        <f t="shared" si="241"/>
        <v>0</v>
      </c>
      <c r="O275" s="52">
        <f t="shared" si="241"/>
        <v>0</v>
      </c>
      <c r="P275" s="52">
        <f t="shared" si="241"/>
        <v>0</v>
      </c>
      <c r="Q275" s="53">
        <f t="shared" si="241"/>
        <v>0</v>
      </c>
      <c r="R275" s="84">
        <f t="shared" si="241"/>
        <v>49864.999999999993</v>
      </c>
      <c r="S275" s="89">
        <f t="shared" ref="S275:S294" si="242">T275-R275</f>
        <v>1534.9900000000125</v>
      </c>
      <c r="T275" s="16">
        <f t="shared" ref="T275:T300" si="243">SUM(U275:AC275)</f>
        <v>51399.990000000005</v>
      </c>
      <c r="U275" s="51">
        <f t="shared" ref="U275:AD275" si="244">U276+U281+U285+U288+U293+U298+U302+U305+U308+U312+U317+U318+U319+U320+U321+U322+U323+U324+U325+U326+U327+U328</f>
        <v>40900.002000000008</v>
      </c>
      <c r="V275" s="52">
        <f t="shared" si="244"/>
        <v>4500</v>
      </c>
      <c r="W275" s="219">
        <f t="shared" si="244"/>
        <v>5999.9880000000003</v>
      </c>
      <c r="X275" s="52">
        <f t="shared" si="244"/>
        <v>0</v>
      </c>
      <c r="Y275" s="52">
        <f t="shared" si="244"/>
        <v>0</v>
      </c>
      <c r="Z275" s="52">
        <f t="shared" si="244"/>
        <v>0</v>
      </c>
      <c r="AA275" s="52">
        <f t="shared" si="244"/>
        <v>0</v>
      </c>
      <c r="AB275" s="52">
        <f t="shared" si="244"/>
        <v>0</v>
      </c>
      <c r="AC275" s="53">
        <f t="shared" si="244"/>
        <v>0</v>
      </c>
      <c r="AD275" s="255">
        <f t="shared" si="244"/>
        <v>11601.63</v>
      </c>
      <c r="AE275" s="256">
        <f t="shared" si="235"/>
        <v>-1245.6299999999992</v>
      </c>
      <c r="AF275" s="257">
        <f t="shared" si="236"/>
        <v>10356</v>
      </c>
      <c r="AG275" s="260">
        <f>AG276+AG281+AG285+AG288+AG293+AG298+AG302+AG305+AG308+AG312+AG317+AG318+AG319+AG320+AG321+AG322+AG323+AG324+AG325+AG326+AG327+AG328</f>
        <v>0</v>
      </c>
      <c r="AH275" s="259">
        <f>AH276+AH281+AH285+AH288+AH293+AH298+AH302+AH305+AH308+AH312+AH317+AH318+AH319+AH320+AH321+AH322+AH323+AH324+AH325+AH326+AH327+AH328</f>
        <v>0</v>
      </c>
      <c r="AI275" s="259">
        <f>AI276+AI281+AI285+AI288+AI293+AI298+AI302+AI305+AI308+AI312+AI317+AI318+AI319+AI320+AI321+AI322+AI323+AI324+AI325+AI326+AI327+AI328</f>
        <v>0</v>
      </c>
      <c r="AJ275" s="259">
        <f>AJ276+AJ281+AJ285+AJ288+AJ293+AJ298+AJ302+AJ305+AJ308+AJ312+AJ317+AJ318+AJ319+AJ320+AJ321+AJ322+AJ323+AJ324+AJ325+AJ326+AJ327+AJ328</f>
        <v>0</v>
      </c>
      <c r="AK275" s="259">
        <f>AK276+AK281+AK285+AK288+AK293+AK298+AK302+AK305+AK308+AK312+AK317+AK318+AK319+AK320+AK321+AK322+AK323+AK324+AK325+AK326+AK327+AK328</f>
        <v>0</v>
      </c>
      <c r="AL275" s="286">
        <v>280</v>
      </c>
      <c r="AM275" s="259">
        <f>AM276+AM281+AM285+AM288+AM293+AM298+AM302+AM305+AM308+AM312+AM317+AM318+AM319+AM320+AM321+AM322+AM323+AM324+AM325+AM326+AM327+AM328</f>
        <v>0</v>
      </c>
      <c r="AN275" s="259">
        <f>AN276+AN281+AN285+AN288+AN293+AN298+AN302+AN305+AN308+AN312+AN317+AN318+AN319+AN320+AN321+AN322+AN323+AN324+AN325+AN326+AN327+AN328</f>
        <v>0</v>
      </c>
      <c r="AO275" s="263">
        <v>10076</v>
      </c>
      <c r="AP275" s="32">
        <f>AP276+AP281+AP285+AP288+AP293+AP298+AP302+AP305+AP308+AP312+AP317+AP318+AP319+AP320+AP321+AP322+AP323+AP324+AP325+AP326+AP327+AP328</f>
        <v>68044</v>
      </c>
      <c r="AQ275" s="32">
        <f>AQ276+AQ281+AQ285+AQ288+AQ293+AQ298+AQ302+AQ305+AQ308+AQ312+AQ317+AQ318+AQ319+AQ320+AQ321+AQ322+AQ323+AQ324+AQ325+AQ326+AQ327+AQ328</f>
        <v>50009.369999999995</v>
      </c>
      <c r="AR275" s="126">
        <f>AQ275*100/AP275</f>
        <v>73.495635177238256</v>
      </c>
      <c r="AS275" s="108">
        <f t="shared" si="224"/>
        <v>1</v>
      </c>
      <c r="AT275" s="249">
        <f t="shared" si="225"/>
        <v>1.0307830378962846</v>
      </c>
      <c r="AU275" s="249">
        <f t="shared" si="226"/>
        <v>0.23266078411711624</v>
      </c>
      <c r="AV275" s="249">
        <f t="shared" si="227"/>
        <v>0.20768076298174223</v>
      </c>
    </row>
    <row r="276" spans="1:48" s="280" customFormat="1" ht="15.75" x14ac:dyDescent="0.25">
      <c r="A276" s="270" t="s">
        <v>252</v>
      </c>
      <c r="B276" s="271" t="s">
        <v>497</v>
      </c>
      <c r="C276" s="272"/>
      <c r="D276" s="273"/>
      <c r="E276" s="274"/>
      <c r="F276" s="264">
        <f>SUM(F277:F280)</f>
        <v>1550</v>
      </c>
      <c r="G276" s="265">
        <f t="shared" si="190"/>
        <v>0</v>
      </c>
      <c r="H276" s="275">
        <f t="shared" si="240"/>
        <v>1550</v>
      </c>
      <c r="I276" s="267">
        <f t="shared" ref="I276:Q276" si="245">SUM(I277:I280)</f>
        <v>1550</v>
      </c>
      <c r="J276" s="268">
        <f t="shared" si="245"/>
        <v>0</v>
      </c>
      <c r="K276" s="268">
        <f t="shared" si="245"/>
        <v>0</v>
      </c>
      <c r="L276" s="268">
        <f t="shared" si="245"/>
        <v>0</v>
      </c>
      <c r="M276" s="268">
        <f>SUM(M277:M280)</f>
        <v>0</v>
      </c>
      <c r="N276" s="268">
        <f t="shared" si="245"/>
        <v>0</v>
      </c>
      <c r="O276" s="268">
        <f t="shared" si="245"/>
        <v>0</v>
      </c>
      <c r="P276" s="268">
        <f t="shared" si="245"/>
        <v>0</v>
      </c>
      <c r="Q276" s="269">
        <f t="shared" si="245"/>
        <v>0</v>
      </c>
      <c r="R276" s="264">
        <f>SUM(R277:R280)</f>
        <v>1550</v>
      </c>
      <c r="S276" s="265">
        <f t="shared" si="242"/>
        <v>0</v>
      </c>
      <c r="T276" s="275">
        <f t="shared" si="243"/>
        <v>1550</v>
      </c>
      <c r="U276" s="267">
        <f t="shared" ref="U276:AD276" si="246">SUM(U277:U280)</f>
        <v>1550</v>
      </c>
      <c r="V276" s="268">
        <f t="shared" si="246"/>
        <v>0</v>
      </c>
      <c r="W276" s="268">
        <f t="shared" si="246"/>
        <v>0</v>
      </c>
      <c r="X276" s="268">
        <f t="shared" si="246"/>
        <v>0</v>
      </c>
      <c r="Y276" s="268">
        <f t="shared" si="246"/>
        <v>0</v>
      </c>
      <c r="Z276" s="268">
        <f t="shared" si="246"/>
        <v>0</v>
      </c>
      <c r="AA276" s="268">
        <f t="shared" si="246"/>
        <v>0</v>
      </c>
      <c r="AB276" s="268">
        <f t="shared" si="246"/>
        <v>0</v>
      </c>
      <c r="AC276" s="269">
        <f t="shared" si="246"/>
        <v>0</v>
      </c>
      <c r="AD276" s="264">
        <f t="shared" si="246"/>
        <v>149.04</v>
      </c>
      <c r="AE276" s="265">
        <f t="shared" si="235"/>
        <v>-149.04</v>
      </c>
      <c r="AF276" s="266">
        <f t="shared" si="236"/>
        <v>0</v>
      </c>
      <c r="AG276" s="267">
        <f t="shared" ref="AG276:AO276" si="247">SUM(AG277:AG280)</f>
        <v>0</v>
      </c>
      <c r="AH276" s="268">
        <f t="shared" si="247"/>
        <v>0</v>
      </c>
      <c r="AI276" s="268">
        <f t="shared" si="247"/>
        <v>0</v>
      </c>
      <c r="AJ276" s="268">
        <f t="shared" si="247"/>
        <v>0</v>
      </c>
      <c r="AK276" s="268">
        <f t="shared" si="247"/>
        <v>0</v>
      </c>
      <c r="AL276" s="268">
        <f t="shared" si="247"/>
        <v>0</v>
      </c>
      <c r="AM276" s="268">
        <f t="shared" si="247"/>
        <v>0</v>
      </c>
      <c r="AN276" s="268">
        <f t="shared" si="247"/>
        <v>0</v>
      </c>
      <c r="AO276" s="269">
        <f t="shared" si="247"/>
        <v>0</v>
      </c>
      <c r="AP276" s="276">
        <v>1300</v>
      </c>
      <c r="AQ276" s="276">
        <v>1009.59</v>
      </c>
      <c r="AR276" s="277">
        <f>AQ276*100/AP276</f>
        <v>77.660769230769233</v>
      </c>
      <c r="AS276" s="278">
        <f t="shared" si="224"/>
        <v>1</v>
      </c>
      <c r="AT276" s="279">
        <f t="shared" si="225"/>
        <v>1</v>
      </c>
      <c r="AU276" s="279">
        <f t="shared" si="226"/>
        <v>9.615483870967742E-2</v>
      </c>
      <c r="AV276" s="279">
        <f t="shared" si="227"/>
        <v>0</v>
      </c>
    </row>
    <row r="277" spans="1:48" outlineLevel="1" x14ac:dyDescent="0.25">
      <c r="A277" s="4" t="s">
        <v>253</v>
      </c>
      <c r="B277" s="75" t="s">
        <v>97</v>
      </c>
      <c r="C277" s="25" t="s">
        <v>98</v>
      </c>
      <c r="D277" s="92">
        <v>1</v>
      </c>
      <c r="E277" s="110">
        <v>1000</v>
      </c>
      <c r="F277" s="93">
        <f>+D277*E277</f>
        <v>1000</v>
      </c>
      <c r="G277" s="74">
        <f t="shared" si="190"/>
        <v>0</v>
      </c>
      <c r="H277" s="95">
        <f t="shared" si="240"/>
        <v>1000</v>
      </c>
      <c r="I277" s="112">
        <v>1000</v>
      </c>
      <c r="J277" s="57"/>
      <c r="K277" s="57"/>
      <c r="L277" s="57"/>
      <c r="M277" s="57"/>
      <c r="N277" s="57"/>
      <c r="O277" s="57"/>
      <c r="P277" s="68"/>
      <c r="Q277" s="58"/>
      <c r="R277" s="93">
        <v>1000</v>
      </c>
      <c r="S277" s="74">
        <f t="shared" si="242"/>
        <v>0</v>
      </c>
      <c r="T277" s="95">
        <f t="shared" si="243"/>
        <v>1000</v>
      </c>
      <c r="U277" s="112">
        <v>1000</v>
      </c>
      <c r="V277" s="57"/>
      <c r="W277" s="57"/>
      <c r="X277" s="57"/>
      <c r="Y277" s="57"/>
      <c r="Z277" s="57"/>
      <c r="AA277" s="57"/>
      <c r="AB277" s="68"/>
      <c r="AC277" s="58"/>
      <c r="AD277" s="170">
        <f>+P277*Q277</f>
        <v>0</v>
      </c>
      <c r="AE277" s="89">
        <f t="shared" si="235"/>
        <v>0</v>
      </c>
      <c r="AF277" s="216">
        <f t="shared" si="236"/>
        <v>0</v>
      </c>
      <c r="AG277" s="147"/>
      <c r="AH277" s="148"/>
      <c r="AI277" s="148"/>
      <c r="AJ277" s="148"/>
      <c r="AK277" s="148"/>
      <c r="AL277" s="148"/>
      <c r="AM277" s="148"/>
      <c r="AN277" s="149"/>
      <c r="AO277" s="150"/>
      <c r="AP277" s="76"/>
      <c r="AQ277" s="76"/>
      <c r="AR277" s="128"/>
      <c r="AS277" s="108">
        <f t="shared" si="224"/>
        <v>1</v>
      </c>
      <c r="AT277" s="249">
        <f t="shared" si="225"/>
        <v>1</v>
      </c>
      <c r="AU277" s="249">
        <f t="shared" si="226"/>
        <v>0</v>
      </c>
      <c r="AV277" s="249">
        <f t="shared" si="227"/>
        <v>0</v>
      </c>
    </row>
    <row r="278" spans="1:48" outlineLevel="1" x14ac:dyDescent="0.25">
      <c r="A278" s="4" t="s">
        <v>254</v>
      </c>
      <c r="B278" s="75" t="s">
        <v>96</v>
      </c>
      <c r="C278" s="25" t="s">
        <v>99</v>
      </c>
      <c r="D278" s="92">
        <v>0</v>
      </c>
      <c r="E278" s="110">
        <v>0</v>
      </c>
      <c r="F278" s="93">
        <f>D278*E278</f>
        <v>0</v>
      </c>
      <c r="G278" s="74">
        <f t="shared" si="190"/>
        <v>0</v>
      </c>
      <c r="H278" s="95">
        <f t="shared" si="240"/>
        <v>0</v>
      </c>
      <c r="I278" s="112">
        <v>0</v>
      </c>
      <c r="J278" s="57"/>
      <c r="K278" s="57"/>
      <c r="L278" s="57"/>
      <c r="M278" s="57"/>
      <c r="N278" s="57"/>
      <c r="O278" s="57"/>
      <c r="P278" s="68"/>
      <c r="Q278" s="58"/>
      <c r="R278" s="93">
        <v>0</v>
      </c>
      <c r="S278" s="74">
        <f t="shared" si="242"/>
        <v>0</v>
      </c>
      <c r="T278" s="95">
        <f t="shared" si="243"/>
        <v>0</v>
      </c>
      <c r="U278" s="112">
        <v>0</v>
      </c>
      <c r="V278" s="57"/>
      <c r="W278" s="57"/>
      <c r="X278" s="57"/>
      <c r="Y278" s="57"/>
      <c r="Z278" s="57"/>
      <c r="AA278" s="57"/>
      <c r="AB278" s="68"/>
      <c r="AC278" s="58"/>
      <c r="AD278" s="170">
        <f>P278*Q278</f>
        <v>0</v>
      </c>
      <c r="AE278" s="89">
        <f t="shared" si="235"/>
        <v>0</v>
      </c>
      <c r="AF278" s="216">
        <f t="shared" si="236"/>
        <v>0</v>
      </c>
      <c r="AG278" s="147"/>
      <c r="AH278" s="148"/>
      <c r="AI278" s="148"/>
      <c r="AJ278" s="148"/>
      <c r="AK278" s="148"/>
      <c r="AL278" s="148"/>
      <c r="AM278" s="148"/>
      <c r="AN278" s="149"/>
      <c r="AO278" s="150"/>
      <c r="AP278" s="76"/>
      <c r="AQ278" s="76"/>
      <c r="AR278" s="128"/>
      <c r="AS278" s="108"/>
      <c r="AT278" s="249"/>
      <c r="AU278" s="249"/>
      <c r="AV278" s="249"/>
    </row>
    <row r="279" spans="1:48" outlineLevel="1" x14ac:dyDescent="0.25">
      <c r="A279" s="4" t="s">
        <v>255</v>
      </c>
      <c r="B279" s="75" t="s">
        <v>521</v>
      </c>
      <c r="C279" s="25" t="s">
        <v>100</v>
      </c>
      <c r="D279" s="92">
        <v>3</v>
      </c>
      <c r="E279" s="110">
        <v>150</v>
      </c>
      <c r="F279" s="93">
        <f>D279*E279</f>
        <v>450</v>
      </c>
      <c r="G279" s="74">
        <f t="shared" si="190"/>
        <v>0</v>
      </c>
      <c r="H279" s="95">
        <f t="shared" si="240"/>
        <v>450</v>
      </c>
      <c r="I279" s="112">
        <v>450</v>
      </c>
      <c r="J279" s="57"/>
      <c r="K279" s="57"/>
      <c r="L279" s="57"/>
      <c r="M279" s="57"/>
      <c r="N279" s="57"/>
      <c r="O279" s="57"/>
      <c r="P279" s="68"/>
      <c r="Q279" s="58"/>
      <c r="R279" s="93">
        <v>450</v>
      </c>
      <c r="S279" s="74">
        <f t="shared" si="242"/>
        <v>0</v>
      </c>
      <c r="T279" s="95">
        <f t="shared" si="243"/>
        <v>450</v>
      </c>
      <c r="U279" s="112">
        <v>450</v>
      </c>
      <c r="V279" s="57"/>
      <c r="W279" s="57"/>
      <c r="X279" s="57"/>
      <c r="Y279" s="57"/>
      <c r="Z279" s="57"/>
      <c r="AA279" s="57"/>
      <c r="AB279" s="68"/>
      <c r="AC279" s="58"/>
      <c r="AD279" s="170">
        <f>P279*Q279</f>
        <v>0</v>
      </c>
      <c r="AE279" s="89">
        <f t="shared" si="235"/>
        <v>0</v>
      </c>
      <c r="AF279" s="216">
        <f t="shared" si="236"/>
        <v>0</v>
      </c>
      <c r="AG279" s="147"/>
      <c r="AH279" s="148"/>
      <c r="AI279" s="148"/>
      <c r="AJ279" s="148"/>
      <c r="AK279" s="148"/>
      <c r="AL279" s="148"/>
      <c r="AM279" s="148"/>
      <c r="AN279" s="149"/>
      <c r="AO279" s="150"/>
      <c r="AP279" s="76"/>
      <c r="AQ279" s="76"/>
      <c r="AR279" s="128"/>
      <c r="AS279" s="108">
        <f t="shared" si="224"/>
        <v>1</v>
      </c>
      <c r="AT279" s="249">
        <f t="shared" si="225"/>
        <v>1</v>
      </c>
      <c r="AU279" s="249">
        <f t="shared" si="226"/>
        <v>0</v>
      </c>
      <c r="AV279" s="249">
        <f t="shared" si="227"/>
        <v>0</v>
      </c>
    </row>
    <row r="280" spans="1:48" outlineLevel="1" x14ac:dyDescent="0.25">
      <c r="A280" s="4" t="s">
        <v>256</v>
      </c>
      <c r="B280" s="75" t="s">
        <v>95</v>
      </c>
      <c r="C280" s="25" t="s">
        <v>98</v>
      </c>
      <c r="D280" s="92">
        <v>1</v>
      </c>
      <c r="E280" s="110">
        <v>100</v>
      </c>
      <c r="F280" s="93">
        <f>D280*E280</f>
        <v>100</v>
      </c>
      <c r="G280" s="74">
        <f t="shared" ref="G280:G344" si="248">H280-F280</f>
        <v>0</v>
      </c>
      <c r="H280" s="95">
        <f t="shared" si="240"/>
        <v>100</v>
      </c>
      <c r="I280" s="112">
        <v>100</v>
      </c>
      <c r="J280" s="57"/>
      <c r="K280" s="57"/>
      <c r="L280" s="57"/>
      <c r="M280" s="57"/>
      <c r="N280" s="57"/>
      <c r="O280" s="57"/>
      <c r="P280" s="68"/>
      <c r="Q280" s="58"/>
      <c r="R280" s="93">
        <v>100</v>
      </c>
      <c r="S280" s="74">
        <f t="shared" si="242"/>
        <v>0</v>
      </c>
      <c r="T280" s="95">
        <f t="shared" si="243"/>
        <v>100</v>
      </c>
      <c r="U280" s="112">
        <v>100</v>
      </c>
      <c r="V280" s="57"/>
      <c r="W280" s="57"/>
      <c r="X280" s="57"/>
      <c r="Y280" s="57"/>
      <c r="Z280" s="57"/>
      <c r="AA280" s="57"/>
      <c r="AB280" s="68"/>
      <c r="AC280" s="58"/>
      <c r="AD280" s="170">
        <v>149.04</v>
      </c>
      <c r="AE280" s="89">
        <f t="shared" si="235"/>
        <v>-149.04</v>
      </c>
      <c r="AF280" s="216">
        <f t="shared" si="236"/>
        <v>0</v>
      </c>
      <c r="AG280" s="147"/>
      <c r="AH280" s="148"/>
      <c r="AI280" s="148"/>
      <c r="AJ280" s="148"/>
      <c r="AK280" s="148"/>
      <c r="AL280" s="148"/>
      <c r="AM280" s="148"/>
      <c r="AN280" s="149"/>
      <c r="AO280" s="150"/>
      <c r="AP280" s="76"/>
      <c r="AQ280" s="76"/>
      <c r="AR280" s="128"/>
      <c r="AS280" s="108">
        <f t="shared" si="224"/>
        <v>1</v>
      </c>
      <c r="AT280" s="249">
        <f t="shared" si="225"/>
        <v>1</v>
      </c>
      <c r="AU280" s="249">
        <f t="shared" si="226"/>
        <v>1.4903999999999999</v>
      </c>
      <c r="AV280" s="249">
        <f t="shared" si="227"/>
        <v>0</v>
      </c>
    </row>
    <row r="281" spans="1:48" s="280" customFormat="1" ht="15.75" x14ac:dyDescent="0.25">
      <c r="A281" s="270" t="s">
        <v>257</v>
      </c>
      <c r="B281" s="271" t="s">
        <v>498</v>
      </c>
      <c r="C281" s="272"/>
      <c r="D281" s="273"/>
      <c r="E281" s="274"/>
      <c r="F281" s="264">
        <f>SUM(F282:F284)</f>
        <v>3500</v>
      </c>
      <c r="G281" s="265">
        <f t="shared" si="248"/>
        <v>0</v>
      </c>
      <c r="H281" s="275">
        <f t="shared" si="240"/>
        <v>3500</v>
      </c>
      <c r="I281" s="267">
        <f t="shared" ref="I281:Q281" si="249">SUM(I282:I284)</f>
        <v>3500</v>
      </c>
      <c r="J281" s="268">
        <f t="shared" si="249"/>
        <v>0</v>
      </c>
      <c r="K281" s="268">
        <f t="shared" si="249"/>
        <v>0</v>
      </c>
      <c r="L281" s="268">
        <f t="shared" si="249"/>
        <v>0</v>
      </c>
      <c r="M281" s="268">
        <f t="shared" si="249"/>
        <v>0</v>
      </c>
      <c r="N281" s="268">
        <f t="shared" si="249"/>
        <v>0</v>
      </c>
      <c r="O281" s="268">
        <f t="shared" si="249"/>
        <v>0</v>
      </c>
      <c r="P281" s="268">
        <f t="shared" si="249"/>
        <v>0</v>
      </c>
      <c r="Q281" s="269">
        <f t="shared" si="249"/>
        <v>0</v>
      </c>
      <c r="R281" s="264">
        <f>SUM(R282:R284)</f>
        <v>3500</v>
      </c>
      <c r="S281" s="265">
        <f t="shared" si="242"/>
        <v>0</v>
      </c>
      <c r="T281" s="275">
        <f t="shared" si="243"/>
        <v>3500</v>
      </c>
      <c r="U281" s="267">
        <f t="shared" ref="U281:AC281" si="250">SUM(U282:U284)</f>
        <v>3500</v>
      </c>
      <c r="V281" s="268">
        <f t="shared" si="250"/>
        <v>0</v>
      </c>
      <c r="W281" s="268">
        <f t="shared" si="250"/>
        <v>0</v>
      </c>
      <c r="X281" s="268">
        <f t="shared" si="250"/>
        <v>0</v>
      </c>
      <c r="Y281" s="268">
        <f t="shared" si="250"/>
        <v>0</v>
      </c>
      <c r="Z281" s="268">
        <f t="shared" si="250"/>
        <v>0</v>
      </c>
      <c r="AA281" s="268">
        <f t="shared" si="250"/>
        <v>0</v>
      </c>
      <c r="AB281" s="268">
        <f t="shared" si="250"/>
        <v>0</v>
      </c>
      <c r="AC281" s="269">
        <f t="shared" si="250"/>
        <v>0</v>
      </c>
      <c r="AD281" s="264">
        <f>SUM(AD282:AD284)</f>
        <v>2519.4399999999996</v>
      </c>
      <c r="AE281" s="265">
        <f t="shared" si="235"/>
        <v>-2519.4399999999996</v>
      </c>
      <c r="AF281" s="266">
        <f t="shared" si="236"/>
        <v>0</v>
      </c>
      <c r="AG281" s="267">
        <f t="shared" ref="AG281:AO281" si="251">SUM(AG282:AG284)</f>
        <v>0</v>
      </c>
      <c r="AH281" s="268">
        <f t="shared" si="251"/>
        <v>0</v>
      </c>
      <c r="AI281" s="268">
        <f t="shared" si="251"/>
        <v>0</v>
      </c>
      <c r="AJ281" s="268">
        <f t="shared" si="251"/>
        <v>0</v>
      </c>
      <c r="AK281" s="268">
        <f t="shared" si="251"/>
        <v>0</v>
      </c>
      <c r="AL281" s="268">
        <f t="shared" si="251"/>
        <v>0</v>
      </c>
      <c r="AM281" s="268">
        <f t="shared" si="251"/>
        <v>0</v>
      </c>
      <c r="AN281" s="268">
        <f t="shared" si="251"/>
        <v>0</v>
      </c>
      <c r="AO281" s="269">
        <f t="shared" si="251"/>
        <v>0</v>
      </c>
      <c r="AP281" s="276">
        <v>3440</v>
      </c>
      <c r="AQ281" s="276">
        <v>4172.66</v>
      </c>
      <c r="AR281" s="277">
        <f>AQ281*100/AP281</f>
        <v>121.29825581395349</v>
      </c>
      <c r="AS281" s="278">
        <f t="shared" si="224"/>
        <v>1</v>
      </c>
      <c r="AT281" s="279">
        <f t="shared" si="225"/>
        <v>1</v>
      </c>
      <c r="AU281" s="279">
        <f t="shared" si="226"/>
        <v>0.71983999999999992</v>
      </c>
      <c r="AV281" s="279">
        <f t="shared" si="227"/>
        <v>0</v>
      </c>
    </row>
    <row r="282" spans="1:48" outlineLevel="1" x14ac:dyDescent="0.25">
      <c r="A282" s="4" t="s">
        <v>258</v>
      </c>
      <c r="B282" s="75" t="s">
        <v>499</v>
      </c>
      <c r="C282" s="25" t="s">
        <v>102</v>
      </c>
      <c r="D282" s="92">
        <v>4</v>
      </c>
      <c r="E282" s="110">
        <v>750</v>
      </c>
      <c r="F282" s="93">
        <f>D282*E282</f>
        <v>3000</v>
      </c>
      <c r="G282" s="74">
        <f t="shared" si="248"/>
        <v>0</v>
      </c>
      <c r="H282" s="95">
        <f t="shared" si="240"/>
        <v>3000</v>
      </c>
      <c r="I282" s="112">
        <v>3000</v>
      </c>
      <c r="J282" s="57"/>
      <c r="K282" s="57"/>
      <c r="L282" s="57"/>
      <c r="M282" s="57"/>
      <c r="N282" s="57"/>
      <c r="O282" s="57"/>
      <c r="P282" s="68"/>
      <c r="Q282" s="58"/>
      <c r="R282" s="93">
        <v>3000</v>
      </c>
      <c r="S282" s="74">
        <f t="shared" si="242"/>
        <v>0</v>
      </c>
      <c r="T282" s="95">
        <f t="shared" si="243"/>
        <v>3000</v>
      </c>
      <c r="U282" s="112">
        <v>3000</v>
      </c>
      <c r="V282" s="57"/>
      <c r="W282" s="57"/>
      <c r="X282" s="57"/>
      <c r="Y282" s="57"/>
      <c r="Z282" s="57"/>
      <c r="AA282" s="57"/>
      <c r="AB282" s="68"/>
      <c r="AC282" s="58"/>
      <c r="AD282" s="242">
        <v>1433.32</v>
      </c>
      <c r="AE282" s="89">
        <f t="shared" si="235"/>
        <v>-1433.32</v>
      </c>
      <c r="AF282" s="216">
        <f t="shared" si="236"/>
        <v>0</v>
      </c>
      <c r="AG282" s="147"/>
      <c r="AH282" s="148"/>
      <c r="AI282" s="148"/>
      <c r="AJ282" s="148"/>
      <c r="AK282" s="148"/>
      <c r="AL282" s="148"/>
      <c r="AM282" s="148"/>
      <c r="AN282" s="149"/>
      <c r="AO282" s="150"/>
      <c r="AP282" s="76"/>
      <c r="AQ282" s="76"/>
      <c r="AR282" s="128"/>
      <c r="AS282" s="108">
        <f t="shared" si="224"/>
        <v>1</v>
      </c>
      <c r="AT282" s="249">
        <f t="shared" si="225"/>
        <v>1</v>
      </c>
      <c r="AU282" s="249">
        <f t="shared" si="226"/>
        <v>0.47777333333333333</v>
      </c>
      <c r="AV282" s="249">
        <f t="shared" si="227"/>
        <v>0</v>
      </c>
    </row>
    <row r="283" spans="1:48" outlineLevel="1" x14ac:dyDescent="0.25">
      <c r="A283" s="4" t="s">
        <v>259</v>
      </c>
      <c r="B283" s="75" t="s">
        <v>500</v>
      </c>
      <c r="C283" s="25" t="s">
        <v>103</v>
      </c>
      <c r="D283" s="92">
        <v>0</v>
      </c>
      <c r="E283" s="110">
        <v>0</v>
      </c>
      <c r="F283" s="93">
        <f>D283*E283</f>
        <v>0</v>
      </c>
      <c r="G283" s="74">
        <f t="shared" si="248"/>
        <v>0</v>
      </c>
      <c r="H283" s="95">
        <f t="shared" si="240"/>
        <v>0</v>
      </c>
      <c r="I283" s="112">
        <v>0</v>
      </c>
      <c r="J283" s="57"/>
      <c r="K283" s="57"/>
      <c r="L283" s="57"/>
      <c r="M283" s="57"/>
      <c r="N283" s="57"/>
      <c r="O283" s="57"/>
      <c r="P283" s="68"/>
      <c r="Q283" s="58"/>
      <c r="R283" s="93">
        <v>0</v>
      </c>
      <c r="S283" s="74">
        <f t="shared" si="242"/>
        <v>0</v>
      </c>
      <c r="T283" s="95">
        <f t="shared" si="243"/>
        <v>0</v>
      </c>
      <c r="U283" s="112">
        <v>0</v>
      </c>
      <c r="V283" s="57"/>
      <c r="W283" s="57"/>
      <c r="X283" s="57"/>
      <c r="Y283" s="57"/>
      <c r="Z283" s="57"/>
      <c r="AA283" s="57"/>
      <c r="AB283" s="68"/>
      <c r="AC283" s="58"/>
      <c r="AD283" s="170">
        <f>P283*Q283</f>
        <v>0</v>
      </c>
      <c r="AE283" s="89">
        <f t="shared" si="235"/>
        <v>0</v>
      </c>
      <c r="AF283" s="216">
        <f t="shared" si="236"/>
        <v>0</v>
      </c>
      <c r="AG283" s="147"/>
      <c r="AH283" s="148"/>
      <c r="AI283" s="148"/>
      <c r="AJ283" s="148"/>
      <c r="AK283" s="148"/>
      <c r="AL283" s="148"/>
      <c r="AM283" s="148"/>
      <c r="AN283" s="149"/>
      <c r="AO283" s="150"/>
      <c r="AP283" s="76"/>
      <c r="AQ283" s="76"/>
      <c r="AR283" s="128"/>
      <c r="AS283" s="108"/>
      <c r="AT283" s="249"/>
      <c r="AU283" s="249"/>
      <c r="AV283" s="249"/>
    </row>
    <row r="284" spans="1:48" outlineLevel="1" x14ac:dyDescent="0.25">
      <c r="A284" s="4" t="s">
        <v>1090</v>
      </c>
      <c r="B284" s="75" t="s">
        <v>47</v>
      </c>
      <c r="C284" s="25"/>
      <c r="D284" s="92">
        <v>1</v>
      </c>
      <c r="E284" s="110">
        <v>500</v>
      </c>
      <c r="F284" s="93">
        <f>D284*E284</f>
        <v>500</v>
      </c>
      <c r="G284" s="74">
        <f t="shared" si="248"/>
        <v>0</v>
      </c>
      <c r="H284" s="95">
        <f t="shared" si="240"/>
        <v>500</v>
      </c>
      <c r="I284" s="112">
        <v>500</v>
      </c>
      <c r="J284" s="57"/>
      <c r="K284" s="57"/>
      <c r="L284" s="57"/>
      <c r="M284" s="57"/>
      <c r="N284" s="57"/>
      <c r="O284" s="57"/>
      <c r="P284" s="68"/>
      <c r="Q284" s="58"/>
      <c r="R284" s="93">
        <v>500</v>
      </c>
      <c r="S284" s="74">
        <f t="shared" si="242"/>
        <v>0</v>
      </c>
      <c r="T284" s="95">
        <f t="shared" si="243"/>
        <v>500</v>
      </c>
      <c r="U284" s="112">
        <v>500</v>
      </c>
      <c r="V284" s="57"/>
      <c r="W284" s="57"/>
      <c r="X284" s="57"/>
      <c r="Y284" s="57"/>
      <c r="Z284" s="57"/>
      <c r="AA284" s="57"/>
      <c r="AB284" s="68"/>
      <c r="AC284" s="58"/>
      <c r="AD284" s="170">
        <f>799.92+286.2</f>
        <v>1086.1199999999999</v>
      </c>
      <c r="AE284" s="89">
        <f t="shared" si="235"/>
        <v>-1086.1199999999999</v>
      </c>
      <c r="AF284" s="216">
        <f t="shared" si="236"/>
        <v>0</v>
      </c>
      <c r="AG284" s="147"/>
      <c r="AH284" s="148"/>
      <c r="AI284" s="148"/>
      <c r="AJ284" s="148"/>
      <c r="AK284" s="148"/>
      <c r="AL284" s="148"/>
      <c r="AM284" s="148"/>
      <c r="AN284" s="149"/>
      <c r="AO284" s="150"/>
      <c r="AP284" s="76"/>
      <c r="AQ284" s="76"/>
      <c r="AR284" s="128"/>
      <c r="AS284" s="108">
        <f t="shared" si="224"/>
        <v>1</v>
      </c>
      <c r="AT284" s="249">
        <f t="shared" si="225"/>
        <v>1</v>
      </c>
      <c r="AU284" s="249">
        <f t="shared" si="226"/>
        <v>2.1722399999999999</v>
      </c>
      <c r="AV284" s="249">
        <f t="shared" si="227"/>
        <v>0</v>
      </c>
    </row>
    <row r="285" spans="1:48" s="280" customFormat="1" ht="15.75" x14ac:dyDescent="0.25">
      <c r="A285" s="270" t="s">
        <v>590</v>
      </c>
      <c r="B285" s="271" t="s">
        <v>519</v>
      </c>
      <c r="C285" s="272"/>
      <c r="D285" s="273"/>
      <c r="E285" s="274"/>
      <c r="F285" s="264">
        <f>SUM(F286:F287)</f>
        <v>400</v>
      </c>
      <c r="G285" s="265">
        <f t="shared" si="248"/>
        <v>0</v>
      </c>
      <c r="H285" s="275">
        <f t="shared" si="240"/>
        <v>400</v>
      </c>
      <c r="I285" s="267">
        <f t="shared" ref="I285:Q285" si="252">SUM(I286:I287)</f>
        <v>400</v>
      </c>
      <c r="J285" s="268">
        <f t="shared" si="252"/>
        <v>0</v>
      </c>
      <c r="K285" s="268">
        <f t="shared" si="252"/>
        <v>0</v>
      </c>
      <c r="L285" s="268">
        <f t="shared" si="252"/>
        <v>0</v>
      </c>
      <c r="M285" s="268">
        <f t="shared" si="252"/>
        <v>0</v>
      </c>
      <c r="N285" s="268">
        <f t="shared" si="252"/>
        <v>0</v>
      </c>
      <c r="O285" s="268">
        <f t="shared" si="252"/>
        <v>0</v>
      </c>
      <c r="P285" s="268">
        <f t="shared" si="252"/>
        <v>0</v>
      </c>
      <c r="Q285" s="269">
        <f t="shared" si="252"/>
        <v>0</v>
      </c>
      <c r="R285" s="264">
        <f>SUM(R286:R287)</f>
        <v>400</v>
      </c>
      <c r="S285" s="265">
        <f t="shared" si="242"/>
        <v>0</v>
      </c>
      <c r="T285" s="275">
        <f t="shared" si="243"/>
        <v>400</v>
      </c>
      <c r="U285" s="267">
        <f t="shared" ref="U285:AC285" si="253">SUM(U286:U287)</f>
        <v>400</v>
      </c>
      <c r="V285" s="268">
        <f t="shared" si="253"/>
        <v>0</v>
      </c>
      <c r="W285" s="268">
        <f t="shared" si="253"/>
        <v>0</v>
      </c>
      <c r="X285" s="268">
        <f t="shared" si="253"/>
        <v>0</v>
      </c>
      <c r="Y285" s="268">
        <f t="shared" si="253"/>
        <v>0</v>
      </c>
      <c r="Z285" s="268">
        <f t="shared" si="253"/>
        <v>0</v>
      </c>
      <c r="AA285" s="268">
        <f t="shared" si="253"/>
        <v>0</v>
      </c>
      <c r="AB285" s="268">
        <f t="shared" si="253"/>
        <v>0</v>
      </c>
      <c r="AC285" s="269">
        <f t="shared" si="253"/>
        <v>0</v>
      </c>
      <c r="AD285" s="264">
        <f>SUM(AD286:AD287)</f>
        <v>294.08000000000004</v>
      </c>
      <c r="AE285" s="265">
        <f t="shared" si="235"/>
        <v>-294.08000000000004</v>
      </c>
      <c r="AF285" s="266">
        <f t="shared" si="236"/>
        <v>0</v>
      </c>
      <c r="AG285" s="267">
        <f t="shared" ref="AG285:AO285" si="254">SUM(AG286:AG287)</f>
        <v>0</v>
      </c>
      <c r="AH285" s="268">
        <f t="shared" si="254"/>
        <v>0</v>
      </c>
      <c r="AI285" s="268">
        <f t="shared" si="254"/>
        <v>0</v>
      </c>
      <c r="AJ285" s="268">
        <f t="shared" si="254"/>
        <v>0</v>
      </c>
      <c r="AK285" s="268">
        <f t="shared" si="254"/>
        <v>0</v>
      </c>
      <c r="AL285" s="268">
        <f t="shared" si="254"/>
        <v>0</v>
      </c>
      <c r="AM285" s="268">
        <f t="shared" si="254"/>
        <v>0</v>
      </c>
      <c r="AN285" s="268">
        <f t="shared" si="254"/>
        <v>0</v>
      </c>
      <c r="AO285" s="269">
        <f t="shared" si="254"/>
        <v>0</v>
      </c>
      <c r="AP285" s="281">
        <v>1000</v>
      </c>
      <c r="AQ285" s="276">
        <v>335.4</v>
      </c>
      <c r="AR285" s="277">
        <f>AQ285*100/AP285</f>
        <v>33.54</v>
      </c>
      <c r="AS285" s="278">
        <f t="shared" si="224"/>
        <v>1</v>
      </c>
      <c r="AT285" s="279">
        <f t="shared" si="225"/>
        <v>1</v>
      </c>
      <c r="AU285" s="279">
        <f t="shared" si="226"/>
        <v>0.73520000000000008</v>
      </c>
      <c r="AV285" s="279">
        <f t="shared" si="227"/>
        <v>0</v>
      </c>
    </row>
    <row r="286" spans="1:48" outlineLevel="1" x14ac:dyDescent="0.25">
      <c r="A286" s="4" t="s">
        <v>262</v>
      </c>
      <c r="B286" s="75" t="s">
        <v>520</v>
      </c>
      <c r="C286" s="25" t="s">
        <v>102</v>
      </c>
      <c r="D286" s="92">
        <v>4</v>
      </c>
      <c r="E286" s="110">
        <v>100</v>
      </c>
      <c r="F286" s="93">
        <f>D286*E286</f>
        <v>400</v>
      </c>
      <c r="G286" s="74">
        <f t="shared" si="248"/>
        <v>0</v>
      </c>
      <c r="H286" s="95">
        <f t="shared" si="240"/>
        <v>400</v>
      </c>
      <c r="I286" s="112">
        <v>400</v>
      </c>
      <c r="J286" s="57"/>
      <c r="K286" s="57"/>
      <c r="L286" s="57"/>
      <c r="M286" s="57"/>
      <c r="N286" s="57"/>
      <c r="O286" s="57"/>
      <c r="P286" s="68"/>
      <c r="Q286" s="58"/>
      <c r="R286" s="93">
        <v>400</v>
      </c>
      <c r="S286" s="74">
        <f t="shared" si="242"/>
        <v>0</v>
      </c>
      <c r="T286" s="95">
        <f t="shared" si="243"/>
        <v>400</v>
      </c>
      <c r="U286" s="112">
        <v>400</v>
      </c>
      <c r="V286" s="57"/>
      <c r="W286" s="57"/>
      <c r="X286" s="57"/>
      <c r="Y286" s="57"/>
      <c r="Z286" s="57"/>
      <c r="AA286" s="57"/>
      <c r="AB286" s="68"/>
      <c r="AC286" s="58"/>
      <c r="AD286" s="242">
        <v>175.68</v>
      </c>
      <c r="AE286" s="89">
        <f t="shared" si="235"/>
        <v>-175.68</v>
      </c>
      <c r="AF286" s="216">
        <f t="shared" si="236"/>
        <v>0</v>
      </c>
      <c r="AG286" s="147"/>
      <c r="AH286" s="148"/>
      <c r="AI286" s="148"/>
      <c r="AJ286" s="148"/>
      <c r="AK286" s="148"/>
      <c r="AL286" s="148"/>
      <c r="AM286" s="148"/>
      <c r="AN286" s="149"/>
      <c r="AO286" s="150"/>
      <c r="AP286" s="76"/>
      <c r="AQ286" s="76"/>
      <c r="AR286" s="128"/>
      <c r="AS286" s="108">
        <f t="shared" si="224"/>
        <v>1</v>
      </c>
      <c r="AT286" s="249">
        <f t="shared" si="225"/>
        <v>1</v>
      </c>
      <c r="AU286" s="249">
        <f t="shared" si="226"/>
        <v>0.43920000000000003</v>
      </c>
      <c r="AV286" s="249">
        <f t="shared" si="227"/>
        <v>0</v>
      </c>
    </row>
    <row r="287" spans="1:48" outlineLevel="1" x14ac:dyDescent="0.25">
      <c r="A287" s="4" t="s">
        <v>1091</v>
      </c>
      <c r="B287" s="75" t="s">
        <v>903</v>
      </c>
      <c r="C287" s="25"/>
      <c r="D287" s="92">
        <v>0</v>
      </c>
      <c r="E287" s="110">
        <v>0</v>
      </c>
      <c r="F287" s="93">
        <f>D287*E287</f>
        <v>0</v>
      </c>
      <c r="G287" s="74">
        <f t="shared" si="248"/>
        <v>0</v>
      </c>
      <c r="H287" s="95">
        <f t="shared" si="240"/>
        <v>0</v>
      </c>
      <c r="I287" s="112">
        <v>0</v>
      </c>
      <c r="J287" s="57"/>
      <c r="K287" s="57"/>
      <c r="L287" s="57"/>
      <c r="M287" s="57"/>
      <c r="N287" s="57"/>
      <c r="O287" s="57"/>
      <c r="P287" s="68"/>
      <c r="Q287" s="58"/>
      <c r="R287" s="93">
        <f>P287*Q287</f>
        <v>0</v>
      </c>
      <c r="S287" s="74">
        <f t="shared" si="242"/>
        <v>0</v>
      </c>
      <c r="T287" s="95">
        <f t="shared" si="243"/>
        <v>0</v>
      </c>
      <c r="U287" s="112">
        <v>0</v>
      </c>
      <c r="V287" s="57"/>
      <c r="W287" s="57"/>
      <c r="X287" s="57"/>
      <c r="Y287" s="57"/>
      <c r="Z287" s="57"/>
      <c r="AA287" s="57"/>
      <c r="AB287" s="68"/>
      <c r="AC287" s="58"/>
      <c r="AD287" s="242">
        <v>118.4</v>
      </c>
      <c r="AE287" s="89">
        <f t="shared" si="235"/>
        <v>-118.4</v>
      </c>
      <c r="AF287" s="216">
        <f t="shared" si="236"/>
        <v>0</v>
      </c>
      <c r="AG287" s="147">
        <v>0</v>
      </c>
      <c r="AH287" s="148"/>
      <c r="AI287" s="148"/>
      <c r="AJ287" s="148"/>
      <c r="AK287" s="148"/>
      <c r="AL287" s="148"/>
      <c r="AM287" s="148"/>
      <c r="AN287" s="149"/>
      <c r="AO287" s="150"/>
      <c r="AP287" s="76"/>
      <c r="AQ287" s="76"/>
      <c r="AR287" s="128"/>
      <c r="AS287" s="108"/>
      <c r="AT287" s="249"/>
      <c r="AU287" s="249"/>
      <c r="AV287" s="249"/>
    </row>
    <row r="288" spans="1:48" s="280" customFormat="1" ht="15.75" x14ac:dyDescent="0.25">
      <c r="A288" s="270" t="s">
        <v>1092</v>
      </c>
      <c r="B288" s="271" t="s">
        <v>501</v>
      </c>
      <c r="C288" s="272"/>
      <c r="D288" s="273"/>
      <c r="E288" s="274"/>
      <c r="F288" s="264">
        <f>SUM(F289:F292)</f>
        <v>13500</v>
      </c>
      <c r="G288" s="265">
        <f t="shared" si="248"/>
        <v>0</v>
      </c>
      <c r="H288" s="275">
        <f t="shared" si="240"/>
        <v>13500</v>
      </c>
      <c r="I288" s="267">
        <f t="shared" ref="I288:Q288" si="255">SUM(I289:I292)</f>
        <v>13500</v>
      </c>
      <c r="J288" s="268">
        <f t="shared" si="255"/>
        <v>0</v>
      </c>
      <c r="K288" s="268">
        <f t="shared" si="255"/>
        <v>0</v>
      </c>
      <c r="L288" s="268">
        <f t="shared" si="255"/>
        <v>0</v>
      </c>
      <c r="M288" s="268">
        <f t="shared" si="255"/>
        <v>0</v>
      </c>
      <c r="N288" s="268">
        <f t="shared" si="255"/>
        <v>0</v>
      </c>
      <c r="O288" s="268">
        <f t="shared" si="255"/>
        <v>0</v>
      </c>
      <c r="P288" s="268">
        <f t="shared" si="255"/>
        <v>0</v>
      </c>
      <c r="Q288" s="269">
        <f t="shared" si="255"/>
        <v>0</v>
      </c>
      <c r="R288" s="264">
        <f>SUM(R289:R292)</f>
        <v>13500</v>
      </c>
      <c r="S288" s="265">
        <f t="shared" si="242"/>
        <v>0</v>
      </c>
      <c r="T288" s="275">
        <f t="shared" si="243"/>
        <v>13500</v>
      </c>
      <c r="U288" s="267">
        <f t="shared" ref="U288:AC288" si="256">SUM(U289:U292)</f>
        <v>13500</v>
      </c>
      <c r="V288" s="268">
        <f t="shared" si="256"/>
        <v>0</v>
      </c>
      <c r="W288" s="268">
        <f t="shared" si="256"/>
        <v>0</v>
      </c>
      <c r="X288" s="268">
        <f t="shared" si="256"/>
        <v>0</v>
      </c>
      <c r="Y288" s="268">
        <f t="shared" si="256"/>
        <v>0</v>
      </c>
      <c r="Z288" s="268">
        <f t="shared" si="256"/>
        <v>0</v>
      </c>
      <c r="AA288" s="268">
        <f t="shared" si="256"/>
        <v>0</v>
      </c>
      <c r="AB288" s="268">
        <f t="shared" si="256"/>
        <v>0</v>
      </c>
      <c r="AC288" s="269">
        <f t="shared" si="256"/>
        <v>0</v>
      </c>
      <c r="AD288" s="264">
        <f>SUM(AD289:AD292)</f>
        <v>2473.23</v>
      </c>
      <c r="AE288" s="265">
        <f t="shared" si="235"/>
        <v>-2473.23</v>
      </c>
      <c r="AF288" s="266">
        <f t="shared" si="236"/>
        <v>0</v>
      </c>
      <c r="AG288" s="267">
        <f t="shared" ref="AG288:AO288" si="257">SUM(AG289:AG292)</f>
        <v>0</v>
      </c>
      <c r="AH288" s="268">
        <f t="shared" si="257"/>
        <v>0</v>
      </c>
      <c r="AI288" s="268">
        <f t="shared" si="257"/>
        <v>0</v>
      </c>
      <c r="AJ288" s="268">
        <f t="shared" si="257"/>
        <v>0</v>
      </c>
      <c r="AK288" s="268">
        <f t="shared" si="257"/>
        <v>0</v>
      </c>
      <c r="AL288" s="268">
        <f t="shared" si="257"/>
        <v>0</v>
      </c>
      <c r="AM288" s="268">
        <f t="shared" si="257"/>
        <v>0</v>
      </c>
      <c r="AN288" s="268">
        <f t="shared" si="257"/>
        <v>0</v>
      </c>
      <c r="AO288" s="269">
        <f t="shared" si="257"/>
        <v>0</v>
      </c>
      <c r="AP288" s="276">
        <f>10000+6000</f>
        <v>16000</v>
      </c>
      <c r="AQ288" s="276">
        <f>7273.08+5871.01</f>
        <v>13144.09</v>
      </c>
      <c r="AR288" s="277">
        <f>AQ288*100/AP288</f>
        <v>82.150562500000007</v>
      </c>
      <c r="AS288" s="278">
        <f t="shared" si="224"/>
        <v>1</v>
      </c>
      <c r="AT288" s="279">
        <f t="shared" si="225"/>
        <v>1</v>
      </c>
      <c r="AU288" s="279">
        <f t="shared" si="226"/>
        <v>0.18320222222222221</v>
      </c>
      <c r="AV288" s="279">
        <f t="shared" si="227"/>
        <v>0</v>
      </c>
    </row>
    <row r="289" spans="1:48" outlineLevel="1" x14ac:dyDescent="0.25">
      <c r="A289" s="4" t="s">
        <v>274</v>
      </c>
      <c r="B289" s="75" t="s">
        <v>502</v>
      </c>
      <c r="C289" s="25" t="s">
        <v>104</v>
      </c>
      <c r="D289" s="92">
        <v>20</v>
      </c>
      <c r="E289" s="110">
        <v>100</v>
      </c>
      <c r="F289" s="93">
        <f>D289*E289</f>
        <v>2000</v>
      </c>
      <c r="G289" s="74">
        <f t="shared" si="248"/>
        <v>0</v>
      </c>
      <c r="H289" s="95">
        <f t="shared" si="240"/>
        <v>2000</v>
      </c>
      <c r="I289" s="112">
        <v>2000</v>
      </c>
      <c r="J289" s="57"/>
      <c r="K289" s="57"/>
      <c r="L289" s="57"/>
      <c r="M289" s="57"/>
      <c r="N289" s="57"/>
      <c r="O289" s="57"/>
      <c r="P289" s="68"/>
      <c r="Q289" s="58"/>
      <c r="R289" s="93">
        <v>2000</v>
      </c>
      <c r="S289" s="74">
        <f t="shared" si="242"/>
        <v>0</v>
      </c>
      <c r="T289" s="95">
        <f t="shared" si="243"/>
        <v>2000</v>
      </c>
      <c r="U289" s="112">
        <v>2000</v>
      </c>
      <c r="V289" s="57"/>
      <c r="W289" s="57"/>
      <c r="X289" s="57"/>
      <c r="Y289" s="57"/>
      <c r="Z289" s="57"/>
      <c r="AA289" s="57"/>
      <c r="AB289" s="68"/>
      <c r="AC289" s="58"/>
      <c r="AD289" s="242">
        <v>424.44</v>
      </c>
      <c r="AE289" s="89">
        <f t="shared" si="235"/>
        <v>-424.44</v>
      </c>
      <c r="AF289" s="216">
        <f t="shared" si="236"/>
        <v>0</v>
      </c>
      <c r="AG289" s="147"/>
      <c r="AH289" s="148"/>
      <c r="AI289" s="148"/>
      <c r="AJ289" s="148"/>
      <c r="AK289" s="148"/>
      <c r="AL289" s="148"/>
      <c r="AM289" s="148"/>
      <c r="AN289" s="149"/>
      <c r="AO289" s="150"/>
      <c r="AP289" s="76"/>
      <c r="AQ289" s="76"/>
      <c r="AR289" s="128"/>
      <c r="AS289" s="108">
        <f t="shared" si="224"/>
        <v>1</v>
      </c>
      <c r="AT289" s="249">
        <f t="shared" si="225"/>
        <v>1</v>
      </c>
      <c r="AU289" s="249">
        <f t="shared" si="226"/>
        <v>0.21221999999999999</v>
      </c>
      <c r="AV289" s="249">
        <f t="shared" si="227"/>
        <v>0</v>
      </c>
    </row>
    <row r="290" spans="1:48" outlineLevel="1" x14ac:dyDescent="0.25">
      <c r="A290" s="4" t="s">
        <v>275</v>
      </c>
      <c r="B290" s="75" t="s">
        <v>503</v>
      </c>
      <c r="C290" s="25"/>
      <c r="D290" s="92">
        <v>1</v>
      </c>
      <c r="E290" s="110">
        <v>6000</v>
      </c>
      <c r="F290" s="93">
        <f>D290*E290</f>
        <v>6000</v>
      </c>
      <c r="G290" s="74">
        <f t="shared" si="248"/>
        <v>0</v>
      </c>
      <c r="H290" s="95">
        <f t="shared" si="240"/>
        <v>6000</v>
      </c>
      <c r="I290" s="112">
        <v>6000</v>
      </c>
      <c r="J290" s="57"/>
      <c r="K290" s="57"/>
      <c r="L290" s="57"/>
      <c r="M290" s="57"/>
      <c r="N290" s="57"/>
      <c r="O290" s="57"/>
      <c r="P290" s="68"/>
      <c r="Q290" s="58"/>
      <c r="R290" s="93">
        <v>6000</v>
      </c>
      <c r="S290" s="74">
        <f t="shared" si="242"/>
        <v>0</v>
      </c>
      <c r="T290" s="95">
        <f t="shared" si="243"/>
        <v>6000</v>
      </c>
      <c r="U290" s="112">
        <v>6000</v>
      </c>
      <c r="V290" s="57"/>
      <c r="W290" s="57"/>
      <c r="X290" s="57"/>
      <c r="Y290" s="57"/>
      <c r="Z290" s="57"/>
      <c r="AA290" s="57"/>
      <c r="AB290" s="68"/>
      <c r="AC290" s="58"/>
      <c r="AD290" s="242">
        <v>879.65</v>
      </c>
      <c r="AE290" s="89">
        <f t="shared" si="235"/>
        <v>-879.65</v>
      </c>
      <c r="AF290" s="216">
        <f t="shared" si="236"/>
        <v>0</v>
      </c>
      <c r="AG290" s="147"/>
      <c r="AH290" s="148"/>
      <c r="AI290" s="148"/>
      <c r="AJ290" s="148"/>
      <c r="AK290" s="148"/>
      <c r="AL290" s="148"/>
      <c r="AM290" s="148"/>
      <c r="AN290" s="149"/>
      <c r="AO290" s="150"/>
      <c r="AP290" s="76"/>
      <c r="AQ290" s="76"/>
      <c r="AR290" s="128"/>
      <c r="AS290" s="108">
        <f t="shared" si="224"/>
        <v>1</v>
      </c>
      <c r="AT290" s="249">
        <f t="shared" si="225"/>
        <v>1</v>
      </c>
      <c r="AU290" s="249">
        <f t="shared" si="226"/>
        <v>0.14660833333333334</v>
      </c>
      <c r="AV290" s="249">
        <f t="shared" si="227"/>
        <v>0</v>
      </c>
    </row>
    <row r="291" spans="1:48" outlineLevel="1" x14ac:dyDescent="0.25">
      <c r="A291" s="4" t="s">
        <v>276</v>
      </c>
      <c r="B291" s="75" t="s">
        <v>504</v>
      </c>
      <c r="C291" s="25"/>
      <c r="D291" s="92">
        <v>1</v>
      </c>
      <c r="E291" s="110">
        <v>5000</v>
      </c>
      <c r="F291" s="93">
        <f>D291*E291</f>
        <v>5000</v>
      </c>
      <c r="G291" s="74">
        <f t="shared" si="248"/>
        <v>0</v>
      </c>
      <c r="H291" s="95">
        <f t="shared" si="240"/>
        <v>5000</v>
      </c>
      <c r="I291" s="112">
        <v>5000</v>
      </c>
      <c r="J291" s="57"/>
      <c r="K291" s="57"/>
      <c r="L291" s="57"/>
      <c r="M291" s="57"/>
      <c r="N291" s="57"/>
      <c r="O291" s="57"/>
      <c r="P291" s="68"/>
      <c r="Q291" s="58"/>
      <c r="R291" s="93">
        <v>5000</v>
      </c>
      <c r="S291" s="74">
        <f t="shared" si="242"/>
        <v>0</v>
      </c>
      <c r="T291" s="95">
        <f t="shared" si="243"/>
        <v>5000</v>
      </c>
      <c r="U291" s="112">
        <v>5000</v>
      </c>
      <c r="V291" s="57"/>
      <c r="W291" s="57"/>
      <c r="X291" s="57"/>
      <c r="Y291" s="57"/>
      <c r="Z291" s="57"/>
      <c r="AA291" s="57"/>
      <c r="AB291" s="68"/>
      <c r="AC291" s="58"/>
      <c r="AD291" s="242">
        <v>504</v>
      </c>
      <c r="AE291" s="89">
        <f t="shared" si="235"/>
        <v>-504</v>
      </c>
      <c r="AF291" s="216">
        <f t="shared" si="236"/>
        <v>0</v>
      </c>
      <c r="AG291" s="147"/>
      <c r="AH291" s="148"/>
      <c r="AI291" s="148"/>
      <c r="AJ291" s="148"/>
      <c r="AK291" s="148"/>
      <c r="AL291" s="148"/>
      <c r="AM291" s="148"/>
      <c r="AN291" s="149"/>
      <c r="AO291" s="150"/>
      <c r="AP291" s="76"/>
      <c r="AQ291" s="76"/>
      <c r="AR291" s="128"/>
      <c r="AS291" s="108">
        <f t="shared" si="224"/>
        <v>1</v>
      </c>
      <c r="AT291" s="249">
        <f t="shared" si="225"/>
        <v>1</v>
      </c>
      <c r="AU291" s="249">
        <f t="shared" si="226"/>
        <v>0.1008</v>
      </c>
      <c r="AV291" s="249">
        <f t="shared" si="227"/>
        <v>0</v>
      </c>
    </row>
    <row r="292" spans="1:48" outlineLevel="1" x14ac:dyDescent="0.25">
      <c r="A292" s="4" t="s">
        <v>1093</v>
      </c>
      <c r="B292" s="75" t="s">
        <v>903</v>
      </c>
      <c r="C292" s="25"/>
      <c r="D292" s="92">
        <v>1</v>
      </c>
      <c r="E292" s="110">
        <v>500</v>
      </c>
      <c r="F292" s="93">
        <f>D292*E292</f>
        <v>500</v>
      </c>
      <c r="G292" s="74">
        <f t="shared" si="248"/>
        <v>0</v>
      </c>
      <c r="H292" s="95">
        <f t="shared" si="240"/>
        <v>500</v>
      </c>
      <c r="I292" s="112">
        <v>500</v>
      </c>
      <c r="J292" s="57"/>
      <c r="K292" s="57"/>
      <c r="L292" s="57"/>
      <c r="M292" s="57"/>
      <c r="N292" s="57"/>
      <c r="O292" s="57"/>
      <c r="P292" s="68"/>
      <c r="Q292" s="58"/>
      <c r="R292" s="93">
        <v>500</v>
      </c>
      <c r="S292" s="74">
        <f t="shared" si="242"/>
        <v>0</v>
      </c>
      <c r="T292" s="95">
        <f t="shared" si="243"/>
        <v>500</v>
      </c>
      <c r="U292" s="112">
        <v>500</v>
      </c>
      <c r="V292" s="57"/>
      <c r="W292" s="57"/>
      <c r="X292" s="57"/>
      <c r="Y292" s="57"/>
      <c r="Z292" s="57"/>
      <c r="AA292" s="57"/>
      <c r="AB292" s="68"/>
      <c r="AC292" s="58"/>
      <c r="AD292" s="242">
        <v>665.14</v>
      </c>
      <c r="AE292" s="89">
        <f t="shared" si="235"/>
        <v>-665.14</v>
      </c>
      <c r="AF292" s="216">
        <f t="shared" si="236"/>
        <v>0</v>
      </c>
      <c r="AG292" s="147"/>
      <c r="AH292" s="148"/>
      <c r="AI292" s="148"/>
      <c r="AJ292" s="148"/>
      <c r="AK292" s="148"/>
      <c r="AL292" s="148"/>
      <c r="AM292" s="148"/>
      <c r="AN292" s="149"/>
      <c r="AO292" s="150"/>
      <c r="AP292" s="76"/>
      <c r="AQ292" s="76"/>
      <c r="AR292" s="128"/>
      <c r="AS292" s="108">
        <f t="shared" si="224"/>
        <v>1</v>
      </c>
      <c r="AT292" s="249">
        <f t="shared" si="225"/>
        <v>1</v>
      </c>
      <c r="AU292" s="249">
        <f t="shared" si="226"/>
        <v>1.3302799999999999</v>
      </c>
      <c r="AV292" s="249">
        <f t="shared" si="227"/>
        <v>0</v>
      </c>
    </row>
    <row r="293" spans="1:48" s="280" customFormat="1" ht="15.75" x14ac:dyDescent="0.25">
      <c r="A293" s="270" t="s">
        <v>1094</v>
      </c>
      <c r="B293" s="271" t="s">
        <v>515</v>
      </c>
      <c r="C293" s="272"/>
      <c r="D293" s="273"/>
      <c r="E293" s="274"/>
      <c r="F293" s="264">
        <f>SUM(F294:F297)</f>
        <v>6350</v>
      </c>
      <c r="G293" s="265">
        <f t="shared" si="248"/>
        <v>0</v>
      </c>
      <c r="H293" s="275">
        <f t="shared" si="240"/>
        <v>6350</v>
      </c>
      <c r="I293" s="267">
        <f t="shared" ref="I293:Q293" si="258">SUM(I294:I297)</f>
        <v>1850</v>
      </c>
      <c r="J293" s="268">
        <f t="shared" si="258"/>
        <v>4500</v>
      </c>
      <c r="K293" s="268">
        <f t="shared" si="258"/>
        <v>0</v>
      </c>
      <c r="L293" s="268">
        <f t="shared" si="258"/>
        <v>0</v>
      </c>
      <c r="M293" s="268">
        <f t="shared" si="258"/>
        <v>0</v>
      </c>
      <c r="N293" s="268">
        <f t="shared" si="258"/>
        <v>0</v>
      </c>
      <c r="O293" s="268">
        <f t="shared" si="258"/>
        <v>0</v>
      </c>
      <c r="P293" s="268">
        <f t="shared" si="258"/>
        <v>0</v>
      </c>
      <c r="Q293" s="269">
        <f t="shared" si="258"/>
        <v>0</v>
      </c>
      <c r="R293" s="264">
        <f>SUM(R294:R297)</f>
        <v>6350</v>
      </c>
      <c r="S293" s="265">
        <f t="shared" si="242"/>
        <v>0</v>
      </c>
      <c r="T293" s="275">
        <f t="shared" si="243"/>
        <v>6350</v>
      </c>
      <c r="U293" s="267">
        <f t="shared" ref="U293:AC293" si="259">SUM(U294:U297)</f>
        <v>1850</v>
      </c>
      <c r="V293" s="268">
        <f t="shared" si="259"/>
        <v>4500</v>
      </c>
      <c r="W293" s="268">
        <f t="shared" si="259"/>
        <v>0</v>
      </c>
      <c r="X293" s="268">
        <f t="shared" si="259"/>
        <v>0</v>
      </c>
      <c r="Y293" s="268">
        <f t="shared" si="259"/>
        <v>0</v>
      </c>
      <c r="Z293" s="268">
        <f t="shared" si="259"/>
        <v>0</v>
      </c>
      <c r="AA293" s="268">
        <f t="shared" si="259"/>
        <v>0</v>
      </c>
      <c r="AB293" s="268">
        <f t="shared" si="259"/>
        <v>0</v>
      </c>
      <c r="AC293" s="269">
        <f t="shared" si="259"/>
        <v>0</v>
      </c>
      <c r="AD293" s="264">
        <f>SUM(AD294:AD297)</f>
        <v>684.86</v>
      </c>
      <c r="AE293" s="265">
        <f t="shared" si="235"/>
        <v>-684.86</v>
      </c>
      <c r="AF293" s="266">
        <f t="shared" si="236"/>
        <v>0</v>
      </c>
      <c r="AG293" s="267">
        <f t="shared" ref="AG293:AO293" si="260">SUM(AG294:AG297)</f>
        <v>0</v>
      </c>
      <c r="AH293" s="268">
        <f t="shared" si="260"/>
        <v>0</v>
      </c>
      <c r="AI293" s="268">
        <f t="shared" si="260"/>
        <v>0</v>
      </c>
      <c r="AJ293" s="268">
        <f t="shared" si="260"/>
        <v>0</v>
      </c>
      <c r="AK293" s="268">
        <f t="shared" si="260"/>
        <v>0</v>
      </c>
      <c r="AL293" s="268">
        <f t="shared" si="260"/>
        <v>0</v>
      </c>
      <c r="AM293" s="268">
        <f t="shared" si="260"/>
        <v>0</v>
      </c>
      <c r="AN293" s="268">
        <f t="shared" si="260"/>
        <v>0</v>
      </c>
      <c r="AO293" s="269">
        <f t="shared" si="260"/>
        <v>0</v>
      </c>
      <c r="AP293" s="281">
        <v>16475</v>
      </c>
      <c r="AQ293" s="276">
        <f>SUM(AQ294:AQ297)</f>
        <v>0</v>
      </c>
      <c r="AR293" s="277">
        <f>AQ293*100/AP293</f>
        <v>0</v>
      </c>
      <c r="AS293" s="278">
        <f t="shared" si="224"/>
        <v>1</v>
      </c>
      <c r="AT293" s="279">
        <f t="shared" si="225"/>
        <v>1</v>
      </c>
      <c r="AU293" s="279">
        <f t="shared" si="226"/>
        <v>0.10785196850393701</v>
      </c>
      <c r="AV293" s="279">
        <f t="shared" si="227"/>
        <v>0</v>
      </c>
    </row>
    <row r="294" spans="1:48" outlineLevel="1" x14ac:dyDescent="0.25">
      <c r="A294" s="4" t="s">
        <v>278</v>
      </c>
      <c r="B294" s="75" t="s">
        <v>516</v>
      </c>
      <c r="C294" s="25" t="s">
        <v>102</v>
      </c>
      <c r="D294" s="92">
        <v>4</v>
      </c>
      <c r="E294" s="110">
        <v>150</v>
      </c>
      <c r="F294" s="93">
        <f>D294*E294</f>
        <v>600</v>
      </c>
      <c r="G294" s="74">
        <f t="shared" si="248"/>
        <v>0</v>
      </c>
      <c r="H294" s="95">
        <f t="shared" si="240"/>
        <v>600</v>
      </c>
      <c r="I294" s="112">
        <v>600</v>
      </c>
      <c r="J294" s="57"/>
      <c r="K294" s="57"/>
      <c r="L294" s="57"/>
      <c r="M294" s="57"/>
      <c r="N294" s="57"/>
      <c r="O294" s="57"/>
      <c r="P294" s="68"/>
      <c r="Q294" s="58"/>
      <c r="R294" s="93">
        <v>600</v>
      </c>
      <c r="S294" s="74">
        <f t="shared" si="242"/>
        <v>0</v>
      </c>
      <c r="T294" s="95">
        <f t="shared" si="243"/>
        <v>600</v>
      </c>
      <c r="U294" s="112">
        <v>600</v>
      </c>
      <c r="V294" s="57"/>
      <c r="W294" s="57"/>
      <c r="X294" s="57"/>
      <c r="Y294" s="57"/>
      <c r="Z294" s="57"/>
      <c r="AA294" s="57"/>
      <c r="AB294" s="68"/>
      <c r="AC294" s="58"/>
      <c r="AD294" s="170">
        <v>0</v>
      </c>
      <c r="AE294" s="89">
        <f t="shared" si="235"/>
        <v>0</v>
      </c>
      <c r="AF294" s="216">
        <f t="shared" si="236"/>
        <v>0</v>
      </c>
      <c r="AG294" s="147"/>
      <c r="AH294" s="148"/>
      <c r="AI294" s="148"/>
      <c r="AJ294" s="148"/>
      <c r="AK294" s="148"/>
      <c r="AL294" s="148"/>
      <c r="AM294" s="148"/>
      <c r="AN294" s="149"/>
      <c r="AO294" s="150"/>
      <c r="AP294" s="76"/>
      <c r="AQ294" s="76"/>
      <c r="AR294" s="128"/>
      <c r="AS294" s="108">
        <f t="shared" si="224"/>
        <v>1</v>
      </c>
      <c r="AT294" s="249">
        <f t="shared" si="225"/>
        <v>1</v>
      </c>
      <c r="AU294" s="249">
        <f t="shared" si="226"/>
        <v>0</v>
      </c>
      <c r="AV294" s="249">
        <f t="shared" si="227"/>
        <v>0</v>
      </c>
    </row>
    <row r="295" spans="1:48" outlineLevel="1" x14ac:dyDescent="0.25">
      <c r="A295" s="4" t="s">
        <v>279</v>
      </c>
      <c r="B295" s="75" t="s">
        <v>997</v>
      </c>
      <c r="C295" s="25"/>
      <c r="D295" s="92">
        <v>1</v>
      </c>
      <c r="E295" s="110">
        <v>4500</v>
      </c>
      <c r="F295" s="93">
        <f>D295*E295</f>
        <v>4500</v>
      </c>
      <c r="G295" s="74">
        <f>H295-F295</f>
        <v>0</v>
      </c>
      <c r="H295" s="95">
        <f t="shared" si="240"/>
        <v>4500</v>
      </c>
      <c r="I295" s="112"/>
      <c r="J295" s="57">
        <v>4500</v>
      </c>
      <c r="K295" s="57"/>
      <c r="L295" s="57"/>
      <c r="M295" s="57"/>
      <c r="N295" s="57"/>
      <c r="O295" s="57"/>
      <c r="P295" s="68"/>
      <c r="Q295" s="58"/>
      <c r="R295" s="93">
        <v>4500</v>
      </c>
      <c r="S295" s="74">
        <f t="shared" ref="S295:S300" si="261">T295-R295</f>
        <v>0</v>
      </c>
      <c r="T295" s="95">
        <f t="shared" si="243"/>
        <v>4500</v>
      </c>
      <c r="U295" s="112"/>
      <c r="V295" s="57">
        <v>4500</v>
      </c>
      <c r="W295" s="57"/>
      <c r="X295" s="57"/>
      <c r="Y295" s="57"/>
      <c r="Z295" s="57"/>
      <c r="AA295" s="57"/>
      <c r="AB295" s="68"/>
      <c r="AC295" s="58"/>
      <c r="AD295" s="170">
        <v>0</v>
      </c>
      <c r="AE295" s="89">
        <f t="shared" si="235"/>
        <v>0</v>
      </c>
      <c r="AF295" s="216">
        <f t="shared" si="236"/>
        <v>0</v>
      </c>
      <c r="AG295" s="147"/>
      <c r="AH295" s="148"/>
      <c r="AI295" s="148"/>
      <c r="AJ295" s="148"/>
      <c r="AK295" s="148"/>
      <c r="AL295" s="148"/>
      <c r="AM295" s="148"/>
      <c r="AN295" s="149"/>
      <c r="AO295" s="150"/>
      <c r="AP295" s="76"/>
      <c r="AQ295" s="76"/>
      <c r="AR295" s="128"/>
      <c r="AS295" s="108">
        <f t="shared" si="224"/>
        <v>1</v>
      </c>
      <c r="AT295" s="249">
        <f t="shared" si="225"/>
        <v>1</v>
      </c>
      <c r="AU295" s="249">
        <f t="shared" si="226"/>
        <v>0</v>
      </c>
      <c r="AV295" s="249">
        <f t="shared" si="227"/>
        <v>0</v>
      </c>
    </row>
    <row r="296" spans="1:48" outlineLevel="1" x14ac:dyDescent="0.25">
      <c r="A296" s="4" t="s">
        <v>1003</v>
      </c>
      <c r="B296" s="75" t="s">
        <v>691</v>
      </c>
      <c r="C296" s="25"/>
      <c r="D296" s="92">
        <v>1</v>
      </c>
      <c r="E296" s="110">
        <v>1000</v>
      </c>
      <c r="F296" s="93">
        <f>D296*E296</f>
        <v>1000</v>
      </c>
      <c r="G296" s="74">
        <f>H296-F296</f>
        <v>0</v>
      </c>
      <c r="H296" s="95">
        <f t="shared" si="240"/>
        <v>1000</v>
      </c>
      <c r="I296" s="112">
        <v>1000</v>
      </c>
      <c r="J296" s="57"/>
      <c r="K296" s="57"/>
      <c r="L296" s="57"/>
      <c r="M296" s="57"/>
      <c r="N296" s="57"/>
      <c r="O296" s="57"/>
      <c r="P296" s="68"/>
      <c r="Q296" s="58"/>
      <c r="R296" s="93">
        <v>1000</v>
      </c>
      <c r="S296" s="74">
        <f t="shared" si="261"/>
        <v>0</v>
      </c>
      <c r="T296" s="95">
        <f t="shared" si="243"/>
        <v>1000</v>
      </c>
      <c r="U296" s="112">
        <v>1000</v>
      </c>
      <c r="V296" s="57"/>
      <c r="W296" s="57"/>
      <c r="X296" s="57"/>
      <c r="Y296" s="57"/>
      <c r="Z296" s="57"/>
      <c r="AA296" s="57"/>
      <c r="AB296" s="68"/>
      <c r="AC296" s="58"/>
      <c r="AD296" s="242">
        <v>684.86</v>
      </c>
      <c r="AE296" s="89">
        <f t="shared" si="235"/>
        <v>-684.86</v>
      </c>
      <c r="AF296" s="216">
        <f t="shared" si="236"/>
        <v>0</v>
      </c>
      <c r="AG296" s="147"/>
      <c r="AH296" s="148"/>
      <c r="AI296" s="148"/>
      <c r="AJ296" s="148"/>
      <c r="AK296" s="148"/>
      <c r="AL296" s="148"/>
      <c r="AM296" s="148"/>
      <c r="AN296" s="149"/>
      <c r="AO296" s="150"/>
      <c r="AP296" s="76"/>
      <c r="AQ296" s="76"/>
      <c r="AR296" s="128"/>
      <c r="AS296" s="108">
        <f t="shared" si="224"/>
        <v>1</v>
      </c>
      <c r="AT296" s="249">
        <f t="shared" si="225"/>
        <v>1</v>
      </c>
      <c r="AU296" s="249">
        <f t="shared" si="226"/>
        <v>0.68486000000000002</v>
      </c>
      <c r="AV296" s="249">
        <f t="shared" si="227"/>
        <v>0</v>
      </c>
    </row>
    <row r="297" spans="1:48" outlineLevel="1" x14ac:dyDescent="0.25">
      <c r="A297" s="4" t="s">
        <v>1095</v>
      </c>
      <c r="B297" s="75" t="s">
        <v>903</v>
      </c>
      <c r="C297" s="25"/>
      <c r="D297" s="92">
        <v>1</v>
      </c>
      <c r="E297" s="110">
        <v>250</v>
      </c>
      <c r="F297" s="93">
        <f>D297*E297</f>
        <v>250</v>
      </c>
      <c r="G297" s="74">
        <f t="shared" si="248"/>
        <v>0</v>
      </c>
      <c r="H297" s="95">
        <f t="shared" si="240"/>
        <v>250</v>
      </c>
      <c r="I297" s="112">
        <v>250</v>
      </c>
      <c r="J297" s="57"/>
      <c r="K297" s="57"/>
      <c r="L297" s="57"/>
      <c r="M297" s="57"/>
      <c r="N297" s="57"/>
      <c r="O297" s="57"/>
      <c r="P297" s="68"/>
      <c r="Q297" s="58"/>
      <c r="R297" s="93">
        <v>250</v>
      </c>
      <c r="S297" s="74">
        <f t="shared" si="261"/>
        <v>0</v>
      </c>
      <c r="T297" s="95">
        <f t="shared" si="243"/>
        <v>250</v>
      </c>
      <c r="U297" s="112">
        <v>250</v>
      </c>
      <c r="V297" s="57"/>
      <c r="W297" s="57"/>
      <c r="X297" s="57"/>
      <c r="Y297" s="57"/>
      <c r="Z297" s="57"/>
      <c r="AA297" s="57"/>
      <c r="AB297" s="68"/>
      <c r="AC297" s="58"/>
      <c r="AD297" s="170">
        <v>0</v>
      </c>
      <c r="AE297" s="89">
        <f t="shared" si="235"/>
        <v>0</v>
      </c>
      <c r="AF297" s="216">
        <f t="shared" si="236"/>
        <v>0</v>
      </c>
      <c r="AG297" s="147"/>
      <c r="AH297" s="148"/>
      <c r="AI297" s="148"/>
      <c r="AJ297" s="148"/>
      <c r="AK297" s="148"/>
      <c r="AL297" s="148"/>
      <c r="AM297" s="148"/>
      <c r="AN297" s="149"/>
      <c r="AO297" s="150"/>
      <c r="AP297" s="76"/>
      <c r="AQ297" s="76"/>
      <c r="AR297" s="128"/>
      <c r="AS297" s="108">
        <f t="shared" si="224"/>
        <v>1</v>
      </c>
      <c r="AT297" s="249">
        <f t="shared" si="225"/>
        <v>1</v>
      </c>
      <c r="AU297" s="249">
        <f t="shared" si="226"/>
        <v>0</v>
      </c>
      <c r="AV297" s="249">
        <f t="shared" si="227"/>
        <v>0</v>
      </c>
    </row>
    <row r="298" spans="1:48" s="280" customFormat="1" ht="15.75" x14ac:dyDescent="0.25">
      <c r="A298" s="270" t="s">
        <v>593</v>
      </c>
      <c r="B298" s="271" t="s">
        <v>505</v>
      </c>
      <c r="C298" s="272"/>
      <c r="D298" s="273"/>
      <c r="E298" s="274"/>
      <c r="F298" s="264">
        <f>SUM(F299:F300)</f>
        <v>600</v>
      </c>
      <c r="G298" s="265">
        <f t="shared" si="248"/>
        <v>0</v>
      </c>
      <c r="H298" s="275">
        <f t="shared" si="240"/>
        <v>600</v>
      </c>
      <c r="I298" s="267">
        <f t="shared" ref="I298:Q298" si="262">SUM(I299:I300)</f>
        <v>600</v>
      </c>
      <c r="J298" s="268">
        <f t="shared" si="262"/>
        <v>0</v>
      </c>
      <c r="K298" s="268">
        <f t="shared" si="262"/>
        <v>0</v>
      </c>
      <c r="L298" s="268">
        <f t="shared" si="262"/>
        <v>0</v>
      </c>
      <c r="M298" s="268">
        <f t="shared" si="262"/>
        <v>0</v>
      </c>
      <c r="N298" s="268">
        <f t="shared" si="262"/>
        <v>0</v>
      </c>
      <c r="O298" s="268">
        <f t="shared" si="262"/>
        <v>0</v>
      </c>
      <c r="P298" s="268">
        <f t="shared" si="262"/>
        <v>0</v>
      </c>
      <c r="Q298" s="269">
        <f t="shared" si="262"/>
        <v>0</v>
      </c>
      <c r="R298" s="264">
        <f>SUM(R299:R300)</f>
        <v>600</v>
      </c>
      <c r="S298" s="265">
        <f t="shared" si="261"/>
        <v>0</v>
      </c>
      <c r="T298" s="275">
        <f t="shared" si="243"/>
        <v>600</v>
      </c>
      <c r="U298" s="267">
        <f t="shared" ref="U298:AC298" si="263">SUM(U299:U300)</f>
        <v>600</v>
      </c>
      <c r="V298" s="268">
        <f t="shared" si="263"/>
        <v>0</v>
      </c>
      <c r="W298" s="268">
        <f t="shared" si="263"/>
        <v>0</v>
      </c>
      <c r="X298" s="268">
        <f t="shared" si="263"/>
        <v>0</v>
      </c>
      <c r="Y298" s="268">
        <f t="shared" si="263"/>
        <v>0</v>
      </c>
      <c r="Z298" s="268">
        <f t="shared" si="263"/>
        <v>0</v>
      </c>
      <c r="AA298" s="268">
        <f t="shared" si="263"/>
        <v>0</v>
      </c>
      <c r="AB298" s="268">
        <f t="shared" si="263"/>
        <v>0</v>
      </c>
      <c r="AC298" s="269">
        <f t="shared" si="263"/>
        <v>0</v>
      </c>
      <c r="AD298" s="264">
        <f>SUM(AD299:AD301)</f>
        <v>0</v>
      </c>
      <c r="AE298" s="265">
        <f t="shared" si="235"/>
        <v>0</v>
      </c>
      <c r="AF298" s="266">
        <f t="shared" si="236"/>
        <v>0</v>
      </c>
      <c r="AG298" s="267">
        <f t="shared" ref="AG298:AO298" si="264">SUM(AG299:AG300)</f>
        <v>0</v>
      </c>
      <c r="AH298" s="268">
        <f t="shared" si="264"/>
        <v>0</v>
      </c>
      <c r="AI298" s="268">
        <f t="shared" si="264"/>
        <v>0</v>
      </c>
      <c r="AJ298" s="268">
        <f t="shared" si="264"/>
        <v>0</v>
      </c>
      <c r="AK298" s="268">
        <f t="shared" si="264"/>
        <v>0</v>
      </c>
      <c r="AL298" s="268">
        <f>SUM(AL299:AL301)</f>
        <v>0</v>
      </c>
      <c r="AM298" s="268">
        <f t="shared" si="264"/>
        <v>0</v>
      </c>
      <c r="AN298" s="268">
        <f t="shared" si="264"/>
        <v>0</v>
      </c>
      <c r="AO298" s="269">
        <f t="shared" si="264"/>
        <v>0</v>
      </c>
      <c r="AP298" s="281">
        <v>1500</v>
      </c>
      <c r="AQ298" s="276">
        <v>300</v>
      </c>
      <c r="AR298" s="277">
        <f>AQ298*100/AP298</f>
        <v>20</v>
      </c>
      <c r="AS298" s="278">
        <f t="shared" si="224"/>
        <v>1</v>
      </c>
      <c r="AT298" s="279">
        <f t="shared" si="225"/>
        <v>1</v>
      </c>
      <c r="AU298" s="279">
        <f t="shared" si="226"/>
        <v>0</v>
      </c>
      <c r="AV298" s="279">
        <f t="shared" si="227"/>
        <v>0</v>
      </c>
    </row>
    <row r="299" spans="1:48" outlineLevel="1" x14ac:dyDescent="0.25">
      <c r="A299" s="4" t="s">
        <v>594</v>
      </c>
      <c r="B299" s="75" t="s">
        <v>506</v>
      </c>
      <c r="C299" s="25" t="s">
        <v>102</v>
      </c>
      <c r="D299" s="92">
        <v>4</v>
      </c>
      <c r="E299" s="110">
        <v>150</v>
      </c>
      <c r="F299" s="93">
        <f>D299*E299</f>
        <v>600</v>
      </c>
      <c r="G299" s="74">
        <f t="shared" si="248"/>
        <v>0</v>
      </c>
      <c r="H299" s="95">
        <f t="shared" si="240"/>
        <v>600</v>
      </c>
      <c r="I299" s="112">
        <v>600</v>
      </c>
      <c r="J299" s="57"/>
      <c r="K299" s="57"/>
      <c r="L299" s="57"/>
      <c r="M299" s="57"/>
      <c r="N299" s="57"/>
      <c r="O299" s="57"/>
      <c r="P299" s="68"/>
      <c r="Q299" s="58"/>
      <c r="R299" s="93">
        <v>600</v>
      </c>
      <c r="S299" s="74">
        <f t="shared" si="261"/>
        <v>0</v>
      </c>
      <c r="T299" s="95">
        <f t="shared" si="243"/>
        <v>600</v>
      </c>
      <c r="U299" s="112">
        <v>600</v>
      </c>
      <c r="V299" s="57"/>
      <c r="W299" s="57"/>
      <c r="X299" s="57"/>
      <c r="Y299" s="57"/>
      <c r="Z299" s="57"/>
      <c r="AA299" s="57"/>
      <c r="AB299" s="68"/>
      <c r="AC299" s="58"/>
      <c r="AD299" s="170">
        <f>P299*Q299</f>
        <v>0</v>
      </c>
      <c r="AE299" s="89">
        <f t="shared" si="235"/>
        <v>0</v>
      </c>
      <c r="AF299" s="216">
        <f t="shared" si="236"/>
        <v>0</v>
      </c>
      <c r="AG299" s="147"/>
      <c r="AH299" s="148"/>
      <c r="AI299" s="148"/>
      <c r="AJ299" s="148"/>
      <c r="AK299" s="148"/>
      <c r="AL299" s="148"/>
      <c r="AM299" s="148"/>
      <c r="AN299" s="149"/>
      <c r="AO299" s="150"/>
      <c r="AP299" s="135"/>
      <c r="AQ299" s="76"/>
      <c r="AR299" s="128"/>
      <c r="AS299" s="108">
        <f t="shared" si="224"/>
        <v>1</v>
      </c>
      <c r="AT299" s="249">
        <f t="shared" si="225"/>
        <v>1</v>
      </c>
      <c r="AU299" s="249">
        <f t="shared" si="226"/>
        <v>0</v>
      </c>
      <c r="AV299" s="249">
        <f t="shared" si="227"/>
        <v>0</v>
      </c>
    </row>
    <row r="300" spans="1:48" outlineLevel="1" x14ac:dyDescent="0.25">
      <c r="A300" s="4" t="s">
        <v>1096</v>
      </c>
      <c r="B300" s="75" t="s">
        <v>903</v>
      </c>
      <c r="C300" s="25"/>
      <c r="D300" s="92">
        <v>0</v>
      </c>
      <c r="E300" s="110">
        <v>0</v>
      </c>
      <c r="F300" s="93">
        <f>D300*E300</f>
        <v>0</v>
      </c>
      <c r="G300" s="74">
        <f t="shared" si="248"/>
        <v>0</v>
      </c>
      <c r="H300" s="95">
        <f t="shared" si="240"/>
        <v>0</v>
      </c>
      <c r="I300" s="112">
        <v>0</v>
      </c>
      <c r="J300" s="57"/>
      <c r="K300" s="57"/>
      <c r="L300" s="57"/>
      <c r="M300" s="57"/>
      <c r="N300" s="57"/>
      <c r="O300" s="57"/>
      <c r="P300" s="68"/>
      <c r="Q300" s="58"/>
      <c r="R300" s="93">
        <f>P300*Q300</f>
        <v>0</v>
      </c>
      <c r="S300" s="74">
        <f t="shared" si="261"/>
        <v>0</v>
      </c>
      <c r="T300" s="95">
        <f t="shared" si="243"/>
        <v>0</v>
      </c>
      <c r="U300" s="112">
        <v>0</v>
      </c>
      <c r="V300" s="57"/>
      <c r="W300" s="57"/>
      <c r="X300" s="57"/>
      <c r="Y300" s="57"/>
      <c r="Z300" s="57"/>
      <c r="AA300" s="57"/>
      <c r="AB300" s="68"/>
      <c r="AC300" s="58"/>
      <c r="AD300" s="170">
        <f>P300*Q300</f>
        <v>0</v>
      </c>
      <c r="AE300" s="89">
        <f t="shared" si="235"/>
        <v>0</v>
      </c>
      <c r="AF300" s="216">
        <f t="shared" si="236"/>
        <v>0</v>
      </c>
      <c r="AG300" s="147">
        <v>0</v>
      </c>
      <c r="AH300" s="148"/>
      <c r="AI300" s="148"/>
      <c r="AJ300" s="148"/>
      <c r="AK300" s="148"/>
      <c r="AL300" s="148"/>
      <c r="AM300" s="148"/>
      <c r="AN300" s="149"/>
      <c r="AO300" s="150"/>
      <c r="AP300" s="135"/>
      <c r="AQ300" s="76"/>
      <c r="AR300" s="128"/>
      <c r="AS300" s="108"/>
      <c r="AT300" s="249"/>
      <c r="AU300" s="249"/>
      <c r="AV300" s="249"/>
    </row>
    <row r="301" spans="1:48" outlineLevel="1" x14ac:dyDescent="0.25">
      <c r="A301" s="4"/>
      <c r="B301" s="75"/>
      <c r="C301" s="25"/>
      <c r="D301" s="92"/>
      <c r="E301" s="110"/>
      <c r="F301" s="93"/>
      <c r="G301" s="74"/>
      <c r="H301" s="95"/>
      <c r="I301" s="112"/>
      <c r="J301" s="57"/>
      <c r="K301" s="57"/>
      <c r="L301" s="57"/>
      <c r="M301" s="57"/>
      <c r="N301" s="57"/>
      <c r="O301" s="57"/>
      <c r="P301" s="68"/>
      <c r="Q301" s="58"/>
      <c r="R301" s="93"/>
      <c r="S301" s="74"/>
      <c r="T301" s="95"/>
      <c r="U301" s="112"/>
      <c r="V301" s="57"/>
      <c r="W301" s="57"/>
      <c r="X301" s="57"/>
      <c r="Y301" s="57"/>
      <c r="Z301" s="57"/>
      <c r="AA301" s="57"/>
      <c r="AB301" s="68"/>
      <c r="AC301" s="58"/>
      <c r="AD301" s="93">
        <v>0</v>
      </c>
      <c r="AE301" s="89">
        <f t="shared" si="235"/>
        <v>0</v>
      </c>
      <c r="AF301" s="216">
        <f t="shared" si="236"/>
        <v>0</v>
      </c>
      <c r="AG301" s="147"/>
      <c r="AH301" s="148"/>
      <c r="AI301" s="148"/>
      <c r="AJ301" s="148"/>
      <c r="AK301" s="148"/>
      <c r="AL301" s="148"/>
      <c r="AM301" s="148"/>
      <c r="AN301" s="149"/>
      <c r="AO301" s="150"/>
      <c r="AP301" s="209"/>
      <c r="AQ301" s="176"/>
      <c r="AR301" s="177"/>
      <c r="AS301" s="108"/>
      <c r="AT301" s="249"/>
      <c r="AU301" s="249"/>
      <c r="AV301" s="249"/>
    </row>
    <row r="302" spans="1:48" s="280" customFormat="1" ht="15.75" x14ac:dyDescent="0.25">
      <c r="A302" s="270" t="s">
        <v>596</v>
      </c>
      <c r="B302" s="271" t="s">
        <v>508</v>
      </c>
      <c r="C302" s="272"/>
      <c r="D302" s="273"/>
      <c r="E302" s="274"/>
      <c r="F302" s="264">
        <f>SUM(F303:F304)</f>
        <v>400</v>
      </c>
      <c r="G302" s="265">
        <f t="shared" si="248"/>
        <v>0</v>
      </c>
      <c r="H302" s="275">
        <f t="shared" si="240"/>
        <v>400</v>
      </c>
      <c r="I302" s="267">
        <f t="shared" ref="I302:Q302" si="265">SUM(I303:I304)</f>
        <v>400</v>
      </c>
      <c r="J302" s="268">
        <f t="shared" si="265"/>
        <v>0</v>
      </c>
      <c r="K302" s="268">
        <f t="shared" si="265"/>
        <v>0</v>
      </c>
      <c r="L302" s="268">
        <f t="shared" si="265"/>
        <v>0</v>
      </c>
      <c r="M302" s="268">
        <f t="shared" si="265"/>
        <v>0</v>
      </c>
      <c r="N302" s="268">
        <f t="shared" si="265"/>
        <v>0</v>
      </c>
      <c r="O302" s="268">
        <f t="shared" si="265"/>
        <v>0</v>
      </c>
      <c r="P302" s="268">
        <f t="shared" si="265"/>
        <v>0</v>
      </c>
      <c r="Q302" s="269">
        <f t="shared" si="265"/>
        <v>0</v>
      </c>
      <c r="R302" s="264">
        <f>SUM(R303:R304)</f>
        <v>400</v>
      </c>
      <c r="S302" s="265">
        <f t="shared" ref="S302:S316" si="266">T302-R302</f>
        <v>0</v>
      </c>
      <c r="T302" s="275">
        <f t="shared" ref="T302:T316" si="267">SUM(U302:AC302)</f>
        <v>400</v>
      </c>
      <c r="U302" s="267">
        <f t="shared" ref="U302:AC302" si="268">SUM(U303:U304)</f>
        <v>400</v>
      </c>
      <c r="V302" s="268">
        <f t="shared" si="268"/>
        <v>0</v>
      </c>
      <c r="W302" s="268">
        <f t="shared" si="268"/>
        <v>0</v>
      </c>
      <c r="X302" s="268">
        <f t="shared" si="268"/>
        <v>0</v>
      </c>
      <c r="Y302" s="268">
        <f t="shared" si="268"/>
        <v>0</v>
      </c>
      <c r="Z302" s="268">
        <f t="shared" si="268"/>
        <v>0</v>
      </c>
      <c r="AA302" s="268">
        <f t="shared" si="268"/>
        <v>0</v>
      </c>
      <c r="AB302" s="268">
        <f t="shared" si="268"/>
        <v>0</v>
      </c>
      <c r="AC302" s="269">
        <f t="shared" si="268"/>
        <v>0</v>
      </c>
      <c r="AD302" s="264">
        <f>SUM(AD303:AD304)</f>
        <v>0</v>
      </c>
      <c r="AE302" s="265">
        <f t="shared" si="235"/>
        <v>0</v>
      </c>
      <c r="AF302" s="266">
        <f t="shared" si="236"/>
        <v>0</v>
      </c>
      <c r="AG302" s="267">
        <f t="shared" ref="AG302:AO302" si="269">SUM(AG303:AG304)</f>
        <v>0</v>
      </c>
      <c r="AH302" s="268">
        <f t="shared" si="269"/>
        <v>0</v>
      </c>
      <c r="AI302" s="268">
        <f t="shared" si="269"/>
        <v>0</v>
      </c>
      <c r="AJ302" s="268">
        <f t="shared" si="269"/>
        <v>0</v>
      </c>
      <c r="AK302" s="268">
        <f t="shared" si="269"/>
        <v>0</v>
      </c>
      <c r="AL302" s="268">
        <f t="shared" si="269"/>
        <v>0</v>
      </c>
      <c r="AM302" s="268">
        <f t="shared" si="269"/>
        <v>0</v>
      </c>
      <c r="AN302" s="268">
        <f t="shared" si="269"/>
        <v>0</v>
      </c>
      <c r="AO302" s="269">
        <f t="shared" si="269"/>
        <v>0</v>
      </c>
      <c r="AP302" s="281">
        <v>500</v>
      </c>
      <c r="AQ302" s="276">
        <f>SUM(AQ303:AQ304)</f>
        <v>0</v>
      </c>
      <c r="AR302" s="277">
        <f>AQ302*100/AP302</f>
        <v>0</v>
      </c>
      <c r="AS302" s="278">
        <f t="shared" si="224"/>
        <v>1</v>
      </c>
      <c r="AT302" s="279">
        <f t="shared" si="225"/>
        <v>1</v>
      </c>
      <c r="AU302" s="279">
        <f t="shared" si="226"/>
        <v>0</v>
      </c>
      <c r="AV302" s="279">
        <f t="shared" si="227"/>
        <v>0</v>
      </c>
    </row>
    <row r="303" spans="1:48" outlineLevel="1" x14ac:dyDescent="0.25">
      <c r="A303" s="4" t="s">
        <v>1097</v>
      </c>
      <c r="B303" s="75" t="s">
        <v>507</v>
      </c>
      <c r="C303" s="25" t="s">
        <v>102</v>
      </c>
      <c r="D303" s="92">
        <v>4</v>
      </c>
      <c r="E303" s="110">
        <v>100</v>
      </c>
      <c r="F303" s="93">
        <f>D303*E303</f>
        <v>400</v>
      </c>
      <c r="G303" s="74">
        <f t="shared" si="248"/>
        <v>0</v>
      </c>
      <c r="H303" s="95">
        <f t="shared" si="240"/>
        <v>400</v>
      </c>
      <c r="I303" s="112">
        <v>400</v>
      </c>
      <c r="J303" s="57"/>
      <c r="K303" s="57"/>
      <c r="L303" s="57"/>
      <c r="M303" s="57"/>
      <c r="N303" s="57"/>
      <c r="O303" s="57"/>
      <c r="P303" s="68"/>
      <c r="Q303" s="58"/>
      <c r="R303" s="93">
        <v>400</v>
      </c>
      <c r="S303" s="74">
        <f t="shared" si="266"/>
        <v>0</v>
      </c>
      <c r="T303" s="95">
        <f t="shared" si="267"/>
        <v>400</v>
      </c>
      <c r="U303" s="112">
        <v>400</v>
      </c>
      <c r="V303" s="57"/>
      <c r="W303" s="57"/>
      <c r="X303" s="57"/>
      <c r="Y303" s="57"/>
      <c r="Z303" s="57"/>
      <c r="AA303" s="57"/>
      <c r="AB303" s="68"/>
      <c r="AC303" s="58"/>
      <c r="AD303" s="170">
        <f>P303*Q303</f>
        <v>0</v>
      </c>
      <c r="AE303" s="89">
        <f t="shared" si="235"/>
        <v>0</v>
      </c>
      <c r="AF303" s="216">
        <f t="shared" si="236"/>
        <v>0</v>
      </c>
      <c r="AG303" s="147"/>
      <c r="AH303" s="148"/>
      <c r="AI303" s="148"/>
      <c r="AJ303" s="148"/>
      <c r="AK303" s="148"/>
      <c r="AL303" s="148"/>
      <c r="AM303" s="148"/>
      <c r="AN303" s="149"/>
      <c r="AO303" s="150"/>
      <c r="AP303" s="135"/>
      <c r="AQ303" s="76"/>
      <c r="AR303" s="128"/>
      <c r="AS303" s="108">
        <f t="shared" si="224"/>
        <v>1</v>
      </c>
      <c r="AT303" s="249">
        <f t="shared" si="225"/>
        <v>1</v>
      </c>
      <c r="AU303" s="249">
        <f t="shared" si="226"/>
        <v>0</v>
      </c>
      <c r="AV303" s="249">
        <f t="shared" si="227"/>
        <v>0</v>
      </c>
    </row>
    <row r="304" spans="1:48" outlineLevel="1" x14ac:dyDescent="0.25">
      <c r="A304" s="4" t="s">
        <v>1098</v>
      </c>
      <c r="B304" s="75" t="s">
        <v>47</v>
      </c>
      <c r="C304" s="25"/>
      <c r="D304" s="92">
        <v>0</v>
      </c>
      <c r="E304" s="110">
        <v>0</v>
      </c>
      <c r="F304" s="93">
        <f>D304*E304</f>
        <v>0</v>
      </c>
      <c r="G304" s="74">
        <f t="shared" si="248"/>
        <v>0</v>
      </c>
      <c r="H304" s="95">
        <f t="shared" si="240"/>
        <v>0</v>
      </c>
      <c r="I304" s="112">
        <v>0</v>
      </c>
      <c r="J304" s="57"/>
      <c r="K304" s="57"/>
      <c r="L304" s="57"/>
      <c r="M304" s="57"/>
      <c r="N304" s="57"/>
      <c r="O304" s="57"/>
      <c r="P304" s="68"/>
      <c r="Q304" s="58"/>
      <c r="R304" s="93">
        <f>P304*Q304</f>
        <v>0</v>
      </c>
      <c r="S304" s="74">
        <f t="shared" si="266"/>
        <v>0</v>
      </c>
      <c r="T304" s="95">
        <f t="shared" si="267"/>
        <v>0</v>
      </c>
      <c r="U304" s="112">
        <v>0</v>
      </c>
      <c r="V304" s="57"/>
      <c r="W304" s="57"/>
      <c r="X304" s="57"/>
      <c r="Y304" s="57"/>
      <c r="Z304" s="57"/>
      <c r="AA304" s="57"/>
      <c r="AB304" s="68"/>
      <c r="AC304" s="58"/>
      <c r="AD304" s="170">
        <f>P304*Q304</f>
        <v>0</v>
      </c>
      <c r="AE304" s="89">
        <f t="shared" si="235"/>
        <v>0</v>
      </c>
      <c r="AF304" s="216">
        <f t="shared" si="236"/>
        <v>0</v>
      </c>
      <c r="AG304" s="147">
        <v>0</v>
      </c>
      <c r="AH304" s="148"/>
      <c r="AI304" s="148"/>
      <c r="AJ304" s="148"/>
      <c r="AK304" s="148"/>
      <c r="AL304" s="148"/>
      <c r="AM304" s="148"/>
      <c r="AN304" s="149"/>
      <c r="AO304" s="150"/>
      <c r="AP304" s="135"/>
      <c r="AQ304" s="76"/>
      <c r="AR304" s="128"/>
      <c r="AS304" s="108"/>
      <c r="AT304" s="249"/>
      <c r="AU304" s="249"/>
      <c r="AV304" s="249"/>
    </row>
    <row r="305" spans="1:48" s="280" customFormat="1" ht="15.75" x14ac:dyDescent="0.25">
      <c r="A305" s="270" t="s">
        <v>597</v>
      </c>
      <c r="B305" s="271" t="s">
        <v>517</v>
      </c>
      <c r="C305" s="272"/>
      <c r="D305" s="273"/>
      <c r="E305" s="274"/>
      <c r="F305" s="264">
        <f>SUM(F306:F307)</f>
        <v>600</v>
      </c>
      <c r="G305" s="265">
        <f t="shared" si="248"/>
        <v>0</v>
      </c>
      <c r="H305" s="275">
        <f t="shared" si="240"/>
        <v>600</v>
      </c>
      <c r="I305" s="267">
        <f t="shared" ref="I305:Q305" si="270">SUM(I306:I307)</f>
        <v>600</v>
      </c>
      <c r="J305" s="268">
        <f t="shared" si="270"/>
        <v>0</v>
      </c>
      <c r="K305" s="268">
        <f t="shared" si="270"/>
        <v>0</v>
      </c>
      <c r="L305" s="268">
        <f t="shared" si="270"/>
        <v>0</v>
      </c>
      <c r="M305" s="268">
        <f t="shared" si="270"/>
        <v>0</v>
      </c>
      <c r="N305" s="268">
        <f t="shared" si="270"/>
        <v>0</v>
      </c>
      <c r="O305" s="268">
        <f t="shared" si="270"/>
        <v>0</v>
      </c>
      <c r="P305" s="268">
        <f t="shared" si="270"/>
        <v>0</v>
      </c>
      <c r="Q305" s="269">
        <f t="shared" si="270"/>
        <v>0</v>
      </c>
      <c r="R305" s="264">
        <f>SUM(R306:R307)</f>
        <v>600</v>
      </c>
      <c r="S305" s="265">
        <f t="shared" si="266"/>
        <v>0</v>
      </c>
      <c r="T305" s="275">
        <f t="shared" si="267"/>
        <v>600</v>
      </c>
      <c r="U305" s="267">
        <f t="shared" ref="U305:AC305" si="271">SUM(U306:U307)</f>
        <v>600</v>
      </c>
      <c r="V305" s="268">
        <f t="shared" si="271"/>
        <v>0</v>
      </c>
      <c r="W305" s="268">
        <f t="shared" si="271"/>
        <v>0</v>
      </c>
      <c r="X305" s="268">
        <f t="shared" si="271"/>
        <v>0</v>
      </c>
      <c r="Y305" s="268">
        <f t="shared" si="271"/>
        <v>0</v>
      </c>
      <c r="Z305" s="268">
        <f t="shared" si="271"/>
        <v>0</v>
      </c>
      <c r="AA305" s="268">
        <f t="shared" si="271"/>
        <v>0</v>
      </c>
      <c r="AB305" s="268">
        <f t="shared" si="271"/>
        <v>0</v>
      </c>
      <c r="AC305" s="269">
        <f t="shared" si="271"/>
        <v>0</v>
      </c>
      <c r="AD305" s="264">
        <f>SUM(AD306:AD307)</f>
        <v>0</v>
      </c>
      <c r="AE305" s="265">
        <f t="shared" si="235"/>
        <v>0</v>
      </c>
      <c r="AF305" s="266">
        <f t="shared" si="236"/>
        <v>0</v>
      </c>
      <c r="AG305" s="267">
        <f t="shared" ref="AG305:AO305" si="272">SUM(AG306:AG307)</f>
        <v>0</v>
      </c>
      <c r="AH305" s="268">
        <f t="shared" si="272"/>
        <v>0</v>
      </c>
      <c r="AI305" s="268">
        <f t="shared" si="272"/>
        <v>0</v>
      </c>
      <c r="AJ305" s="268">
        <f t="shared" si="272"/>
        <v>0</v>
      </c>
      <c r="AK305" s="268">
        <f t="shared" si="272"/>
        <v>0</v>
      </c>
      <c r="AL305" s="268">
        <f t="shared" si="272"/>
        <v>0</v>
      </c>
      <c r="AM305" s="268">
        <f t="shared" si="272"/>
        <v>0</v>
      </c>
      <c r="AN305" s="268">
        <f t="shared" si="272"/>
        <v>0</v>
      </c>
      <c r="AO305" s="269">
        <f t="shared" si="272"/>
        <v>0</v>
      </c>
      <c r="AP305" s="281">
        <v>1300</v>
      </c>
      <c r="AQ305" s="276">
        <v>471</v>
      </c>
      <c r="AR305" s="277">
        <f>AQ305*100/AP305</f>
        <v>36.230769230769234</v>
      </c>
      <c r="AS305" s="278">
        <f t="shared" si="224"/>
        <v>1</v>
      </c>
      <c r="AT305" s="279">
        <f t="shared" si="225"/>
        <v>1</v>
      </c>
      <c r="AU305" s="279">
        <f t="shared" si="226"/>
        <v>0</v>
      </c>
      <c r="AV305" s="279">
        <f t="shared" si="227"/>
        <v>0</v>
      </c>
    </row>
    <row r="306" spans="1:48" outlineLevel="1" x14ac:dyDescent="0.25">
      <c r="A306" s="4" t="s">
        <v>598</v>
      </c>
      <c r="B306" s="75" t="s">
        <v>518</v>
      </c>
      <c r="C306" s="25" t="s">
        <v>102</v>
      </c>
      <c r="D306" s="92">
        <v>4</v>
      </c>
      <c r="E306" s="110">
        <v>150</v>
      </c>
      <c r="F306" s="93">
        <f>D306*E306</f>
        <v>600</v>
      </c>
      <c r="G306" s="74">
        <f t="shared" si="248"/>
        <v>0</v>
      </c>
      <c r="H306" s="95">
        <f t="shared" si="240"/>
        <v>600</v>
      </c>
      <c r="I306" s="112">
        <f>4*150</f>
        <v>600</v>
      </c>
      <c r="J306" s="57"/>
      <c r="K306" s="57"/>
      <c r="L306" s="57"/>
      <c r="M306" s="57"/>
      <c r="N306" s="57"/>
      <c r="O306" s="57"/>
      <c r="P306" s="68"/>
      <c r="Q306" s="58"/>
      <c r="R306" s="93">
        <v>600</v>
      </c>
      <c r="S306" s="74">
        <f t="shared" si="266"/>
        <v>0</v>
      </c>
      <c r="T306" s="95">
        <f t="shared" si="267"/>
        <v>600</v>
      </c>
      <c r="U306" s="112">
        <f>4*150</f>
        <v>600</v>
      </c>
      <c r="V306" s="57"/>
      <c r="W306" s="57"/>
      <c r="X306" s="57"/>
      <c r="Y306" s="57"/>
      <c r="Z306" s="57"/>
      <c r="AA306" s="57"/>
      <c r="AB306" s="68"/>
      <c r="AC306" s="58"/>
      <c r="AD306" s="170">
        <f>P306*Q306</f>
        <v>0</v>
      </c>
      <c r="AE306" s="89">
        <f t="shared" si="235"/>
        <v>0</v>
      </c>
      <c r="AF306" s="216">
        <f t="shared" si="236"/>
        <v>0</v>
      </c>
      <c r="AG306" s="147"/>
      <c r="AH306" s="148"/>
      <c r="AI306" s="148"/>
      <c r="AJ306" s="148"/>
      <c r="AK306" s="148"/>
      <c r="AL306" s="148"/>
      <c r="AM306" s="148"/>
      <c r="AN306" s="149"/>
      <c r="AO306" s="150"/>
      <c r="AP306" s="76"/>
      <c r="AQ306" s="76"/>
      <c r="AR306" s="128"/>
      <c r="AS306" s="108">
        <f t="shared" si="224"/>
        <v>1</v>
      </c>
      <c r="AT306" s="249">
        <f t="shared" si="225"/>
        <v>1</v>
      </c>
      <c r="AU306" s="249">
        <f t="shared" si="226"/>
        <v>0</v>
      </c>
      <c r="AV306" s="249">
        <f t="shared" si="227"/>
        <v>0</v>
      </c>
    </row>
    <row r="307" spans="1:48" outlineLevel="1" x14ac:dyDescent="0.25">
      <c r="A307" s="4" t="s">
        <v>1099</v>
      </c>
      <c r="B307" s="75" t="s">
        <v>903</v>
      </c>
      <c r="C307" s="25"/>
      <c r="D307" s="92">
        <v>0</v>
      </c>
      <c r="E307" s="110">
        <v>0</v>
      </c>
      <c r="F307" s="93">
        <f>D307*E307</f>
        <v>0</v>
      </c>
      <c r="G307" s="74">
        <f t="shared" si="248"/>
        <v>0</v>
      </c>
      <c r="H307" s="95">
        <f t="shared" si="240"/>
        <v>0</v>
      </c>
      <c r="I307" s="112">
        <v>0</v>
      </c>
      <c r="J307" s="57"/>
      <c r="K307" s="57"/>
      <c r="L307" s="57"/>
      <c r="M307" s="57"/>
      <c r="N307" s="57"/>
      <c r="O307" s="57"/>
      <c r="P307" s="68"/>
      <c r="Q307" s="58"/>
      <c r="R307" s="93">
        <f>P307*Q307</f>
        <v>0</v>
      </c>
      <c r="S307" s="74">
        <f t="shared" si="266"/>
        <v>0</v>
      </c>
      <c r="T307" s="95">
        <f t="shared" si="267"/>
        <v>0</v>
      </c>
      <c r="U307" s="112">
        <v>0</v>
      </c>
      <c r="V307" s="57"/>
      <c r="W307" s="57"/>
      <c r="X307" s="57"/>
      <c r="Y307" s="57"/>
      <c r="Z307" s="57"/>
      <c r="AA307" s="57"/>
      <c r="AB307" s="68"/>
      <c r="AC307" s="58"/>
      <c r="AD307" s="170">
        <f>P307*Q307</f>
        <v>0</v>
      </c>
      <c r="AE307" s="89">
        <f t="shared" si="235"/>
        <v>0</v>
      </c>
      <c r="AF307" s="216">
        <f t="shared" si="236"/>
        <v>0</v>
      </c>
      <c r="AG307" s="147">
        <v>0</v>
      </c>
      <c r="AH307" s="148"/>
      <c r="AI307" s="148"/>
      <c r="AJ307" s="148"/>
      <c r="AK307" s="148"/>
      <c r="AL307" s="148"/>
      <c r="AM307" s="148"/>
      <c r="AN307" s="149"/>
      <c r="AO307" s="150"/>
      <c r="AP307" s="76"/>
      <c r="AQ307" s="76"/>
      <c r="AR307" s="128"/>
      <c r="AS307" s="108"/>
      <c r="AT307" s="249"/>
      <c r="AU307" s="249"/>
      <c r="AV307" s="249"/>
    </row>
    <row r="308" spans="1:48" s="280" customFormat="1" ht="15.75" x14ac:dyDescent="0.25">
      <c r="A308" s="270" t="s">
        <v>601</v>
      </c>
      <c r="B308" s="271" t="s">
        <v>73</v>
      </c>
      <c r="C308" s="272"/>
      <c r="D308" s="273"/>
      <c r="E308" s="274"/>
      <c r="F308" s="264">
        <f>SUM(F309:F311)</f>
        <v>500</v>
      </c>
      <c r="G308" s="265">
        <f t="shared" si="248"/>
        <v>0</v>
      </c>
      <c r="H308" s="275">
        <f t="shared" si="240"/>
        <v>500</v>
      </c>
      <c r="I308" s="267">
        <f t="shared" ref="I308:Q308" si="273">SUM(I309:I311)</f>
        <v>500</v>
      </c>
      <c r="J308" s="268">
        <f t="shared" si="273"/>
        <v>0</v>
      </c>
      <c r="K308" s="268">
        <f t="shared" si="273"/>
        <v>0</v>
      </c>
      <c r="L308" s="268">
        <f t="shared" si="273"/>
        <v>0</v>
      </c>
      <c r="M308" s="268">
        <f t="shared" si="273"/>
        <v>0</v>
      </c>
      <c r="N308" s="268">
        <f t="shared" si="273"/>
        <v>0</v>
      </c>
      <c r="O308" s="268">
        <f t="shared" si="273"/>
        <v>0</v>
      </c>
      <c r="P308" s="268">
        <f t="shared" si="273"/>
        <v>0</v>
      </c>
      <c r="Q308" s="269">
        <f t="shared" si="273"/>
        <v>0</v>
      </c>
      <c r="R308" s="264">
        <f>SUM(R309:R311)</f>
        <v>500</v>
      </c>
      <c r="S308" s="265">
        <f t="shared" si="266"/>
        <v>0</v>
      </c>
      <c r="T308" s="275">
        <f t="shared" si="267"/>
        <v>500</v>
      </c>
      <c r="U308" s="267">
        <f t="shared" ref="U308:AC308" si="274">SUM(U309:U311)</f>
        <v>500</v>
      </c>
      <c r="V308" s="268">
        <f t="shared" si="274"/>
        <v>0</v>
      </c>
      <c r="W308" s="268">
        <f t="shared" si="274"/>
        <v>0</v>
      </c>
      <c r="X308" s="268">
        <f t="shared" si="274"/>
        <v>0</v>
      </c>
      <c r="Y308" s="268">
        <f t="shared" si="274"/>
        <v>0</v>
      </c>
      <c r="Z308" s="268">
        <f t="shared" si="274"/>
        <v>0</v>
      </c>
      <c r="AA308" s="268">
        <f t="shared" si="274"/>
        <v>0</v>
      </c>
      <c r="AB308" s="268">
        <f t="shared" si="274"/>
        <v>0</v>
      </c>
      <c r="AC308" s="269">
        <f t="shared" si="274"/>
        <v>0</v>
      </c>
      <c r="AD308" s="264">
        <f>SUM(AD309:AD311)</f>
        <v>0</v>
      </c>
      <c r="AE308" s="265">
        <f t="shared" si="235"/>
        <v>0</v>
      </c>
      <c r="AF308" s="266">
        <f t="shared" si="236"/>
        <v>0</v>
      </c>
      <c r="AG308" s="267">
        <f t="shared" ref="AG308:AO308" si="275">SUM(AG309:AG311)</f>
        <v>0</v>
      </c>
      <c r="AH308" s="268">
        <f t="shared" si="275"/>
        <v>0</v>
      </c>
      <c r="AI308" s="268">
        <f t="shared" si="275"/>
        <v>0</v>
      </c>
      <c r="AJ308" s="268">
        <f t="shared" si="275"/>
        <v>0</v>
      </c>
      <c r="AK308" s="268">
        <f t="shared" si="275"/>
        <v>0</v>
      </c>
      <c r="AL308" s="268">
        <f t="shared" si="275"/>
        <v>0</v>
      </c>
      <c r="AM308" s="268">
        <f t="shared" si="275"/>
        <v>0</v>
      </c>
      <c r="AN308" s="268">
        <f t="shared" si="275"/>
        <v>0</v>
      </c>
      <c r="AO308" s="269">
        <f t="shared" si="275"/>
        <v>0</v>
      </c>
      <c r="AP308" s="276">
        <v>860</v>
      </c>
      <c r="AQ308" s="276">
        <v>88.92</v>
      </c>
      <c r="AR308" s="277">
        <f>AQ308*100/AP308</f>
        <v>10.33953488372093</v>
      </c>
      <c r="AS308" s="278">
        <f t="shared" si="224"/>
        <v>1</v>
      </c>
      <c r="AT308" s="279">
        <f t="shared" si="225"/>
        <v>1</v>
      </c>
      <c r="AU308" s="279">
        <f t="shared" si="226"/>
        <v>0</v>
      </c>
      <c r="AV308" s="279">
        <f t="shared" si="227"/>
        <v>0</v>
      </c>
    </row>
    <row r="309" spans="1:48" outlineLevel="1" x14ac:dyDescent="0.25">
      <c r="A309" s="4" t="s">
        <v>602</v>
      </c>
      <c r="B309" s="75" t="s">
        <v>74</v>
      </c>
      <c r="C309" s="25" t="s">
        <v>101</v>
      </c>
      <c r="D309" s="92">
        <v>2</v>
      </c>
      <c r="E309" s="110">
        <v>100</v>
      </c>
      <c r="F309" s="93">
        <f>D309*E309</f>
        <v>200</v>
      </c>
      <c r="G309" s="74">
        <f t="shared" si="248"/>
        <v>0</v>
      </c>
      <c r="H309" s="95">
        <f t="shared" si="240"/>
        <v>200</v>
      </c>
      <c r="I309" s="112">
        <v>200</v>
      </c>
      <c r="J309" s="57"/>
      <c r="K309" s="57"/>
      <c r="L309" s="57"/>
      <c r="M309" s="57"/>
      <c r="N309" s="57"/>
      <c r="O309" s="57"/>
      <c r="P309" s="68"/>
      <c r="Q309" s="58"/>
      <c r="R309" s="93">
        <v>200</v>
      </c>
      <c r="S309" s="74">
        <f t="shared" si="266"/>
        <v>0</v>
      </c>
      <c r="T309" s="95">
        <f t="shared" si="267"/>
        <v>200</v>
      </c>
      <c r="U309" s="112">
        <v>200</v>
      </c>
      <c r="V309" s="57"/>
      <c r="W309" s="57"/>
      <c r="X309" s="57"/>
      <c r="Y309" s="57"/>
      <c r="Z309" s="57"/>
      <c r="AA309" s="57"/>
      <c r="AB309" s="68"/>
      <c r="AC309" s="58"/>
      <c r="AD309" s="170">
        <f>P309*Q309</f>
        <v>0</v>
      </c>
      <c r="AE309" s="89">
        <f t="shared" si="235"/>
        <v>0</v>
      </c>
      <c r="AF309" s="216">
        <f t="shared" si="236"/>
        <v>0</v>
      </c>
      <c r="AG309" s="147"/>
      <c r="AH309" s="148"/>
      <c r="AI309" s="148"/>
      <c r="AJ309" s="148"/>
      <c r="AK309" s="148"/>
      <c r="AL309" s="148"/>
      <c r="AM309" s="148"/>
      <c r="AN309" s="149"/>
      <c r="AO309" s="150"/>
      <c r="AP309" s="76"/>
      <c r="AQ309" s="76"/>
      <c r="AR309" s="128"/>
      <c r="AS309" s="108">
        <f t="shared" si="224"/>
        <v>1</v>
      </c>
      <c r="AT309" s="249">
        <f t="shared" si="225"/>
        <v>1</v>
      </c>
      <c r="AU309" s="249">
        <f t="shared" si="226"/>
        <v>0</v>
      </c>
      <c r="AV309" s="249">
        <f t="shared" si="227"/>
        <v>0</v>
      </c>
    </row>
    <row r="310" spans="1:48" outlineLevel="1" x14ac:dyDescent="0.25">
      <c r="A310" s="4" t="s">
        <v>603</v>
      </c>
      <c r="B310" s="75" t="s">
        <v>75</v>
      </c>
      <c r="C310" s="25" t="s">
        <v>105</v>
      </c>
      <c r="D310" s="92">
        <v>1</v>
      </c>
      <c r="E310" s="110">
        <v>300</v>
      </c>
      <c r="F310" s="93">
        <f>D310*E310</f>
        <v>300</v>
      </c>
      <c r="G310" s="74">
        <f t="shared" si="248"/>
        <v>0</v>
      </c>
      <c r="H310" s="95">
        <f t="shared" si="240"/>
        <v>300</v>
      </c>
      <c r="I310" s="112">
        <v>300</v>
      </c>
      <c r="J310" s="57"/>
      <c r="K310" s="57"/>
      <c r="L310" s="57"/>
      <c r="M310" s="57"/>
      <c r="N310" s="57"/>
      <c r="O310" s="57"/>
      <c r="P310" s="68"/>
      <c r="Q310" s="58"/>
      <c r="R310" s="93">
        <v>300</v>
      </c>
      <c r="S310" s="74">
        <f t="shared" si="266"/>
        <v>0</v>
      </c>
      <c r="T310" s="95">
        <f t="shared" si="267"/>
        <v>300</v>
      </c>
      <c r="U310" s="112">
        <v>300</v>
      </c>
      <c r="V310" s="57"/>
      <c r="W310" s="57"/>
      <c r="X310" s="57"/>
      <c r="Y310" s="57"/>
      <c r="Z310" s="57"/>
      <c r="AA310" s="57"/>
      <c r="AB310" s="68"/>
      <c r="AC310" s="58"/>
      <c r="AD310" s="170">
        <f>P310*Q310</f>
        <v>0</v>
      </c>
      <c r="AE310" s="89">
        <f t="shared" si="235"/>
        <v>0</v>
      </c>
      <c r="AF310" s="216">
        <f t="shared" si="236"/>
        <v>0</v>
      </c>
      <c r="AG310" s="147"/>
      <c r="AH310" s="148"/>
      <c r="AI310" s="148"/>
      <c r="AJ310" s="148"/>
      <c r="AK310" s="148"/>
      <c r="AL310" s="148"/>
      <c r="AM310" s="148"/>
      <c r="AN310" s="149"/>
      <c r="AO310" s="150"/>
      <c r="AP310" s="76"/>
      <c r="AQ310" s="76"/>
      <c r="AR310" s="128"/>
      <c r="AS310" s="108">
        <f t="shared" si="224"/>
        <v>1</v>
      </c>
      <c r="AT310" s="249">
        <f t="shared" si="225"/>
        <v>1</v>
      </c>
      <c r="AU310" s="249">
        <f t="shared" si="226"/>
        <v>0</v>
      </c>
      <c r="AV310" s="249">
        <f t="shared" si="227"/>
        <v>0</v>
      </c>
    </row>
    <row r="311" spans="1:48" outlineLevel="1" x14ac:dyDescent="0.25">
      <c r="A311" s="4" t="s">
        <v>1100</v>
      </c>
      <c r="B311" s="75" t="s">
        <v>47</v>
      </c>
      <c r="C311" s="25"/>
      <c r="D311" s="92">
        <v>0</v>
      </c>
      <c r="E311" s="110">
        <v>0</v>
      </c>
      <c r="F311" s="93">
        <f>D311*E311</f>
        <v>0</v>
      </c>
      <c r="G311" s="74">
        <f t="shared" si="248"/>
        <v>0</v>
      </c>
      <c r="H311" s="95">
        <f t="shared" si="240"/>
        <v>0</v>
      </c>
      <c r="I311" s="112">
        <v>0</v>
      </c>
      <c r="J311" s="57"/>
      <c r="K311" s="57"/>
      <c r="L311" s="57"/>
      <c r="M311" s="57"/>
      <c r="N311" s="57"/>
      <c r="O311" s="57"/>
      <c r="P311" s="68"/>
      <c r="Q311" s="58"/>
      <c r="R311" s="93">
        <f>P311*Q311</f>
        <v>0</v>
      </c>
      <c r="S311" s="74">
        <f t="shared" si="266"/>
        <v>0</v>
      </c>
      <c r="T311" s="95">
        <f t="shared" si="267"/>
        <v>0</v>
      </c>
      <c r="U311" s="112">
        <v>0</v>
      </c>
      <c r="V311" s="57"/>
      <c r="W311" s="57"/>
      <c r="X311" s="57"/>
      <c r="Y311" s="57"/>
      <c r="Z311" s="57"/>
      <c r="AA311" s="57"/>
      <c r="AB311" s="68"/>
      <c r="AC311" s="58"/>
      <c r="AD311" s="170">
        <f>P311*Q311</f>
        <v>0</v>
      </c>
      <c r="AE311" s="89">
        <f t="shared" si="235"/>
        <v>0</v>
      </c>
      <c r="AF311" s="216">
        <f t="shared" si="236"/>
        <v>0</v>
      </c>
      <c r="AG311" s="147">
        <v>0</v>
      </c>
      <c r="AH311" s="148"/>
      <c r="AI311" s="148"/>
      <c r="AJ311" s="148"/>
      <c r="AK311" s="148"/>
      <c r="AL311" s="148"/>
      <c r="AM311" s="148"/>
      <c r="AN311" s="149"/>
      <c r="AO311" s="150"/>
      <c r="AP311" s="76"/>
      <c r="AQ311" s="76"/>
      <c r="AR311" s="128"/>
      <c r="AS311" s="108"/>
      <c r="AT311" s="249"/>
      <c r="AU311" s="249"/>
      <c r="AV311" s="249"/>
    </row>
    <row r="312" spans="1:48" s="280" customFormat="1" ht="15.75" x14ac:dyDescent="0.25">
      <c r="A312" s="270" t="s">
        <v>606</v>
      </c>
      <c r="B312" s="271" t="s">
        <v>509</v>
      </c>
      <c r="C312" s="272"/>
      <c r="D312" s="273"/>
      <c r="E312" s="274"/>
      <c r="F312" s="264">
        <f>SUM(F313:F316)</f>
        <v>900</v>
      </c>
      <c r="G312" s="265">
        <f t="shared" si="248"/>
        <v>0</v>
      </c>
      <c r="H312" s="275">
        <f t="shared" si="240"/>
        <v>900</v>
      </c>
      <c r="I312" s="267">
        <f t="shared" ref="I312:Q312" si="276">SUM(I313:I316)</f>
        <v>900</v>
      </c>
      <c r="J312" s="268">
        <f t="shared" si="276"/>
        <v>0</v>
      </c>
      <c r="K312" s="268">
        <f t="shared" si="276"/>
        <v>0</v>
      </c>
      <c r="L312" s="268">
        <f t="shared" si="276"/>
        <v>0</v>
      </c>
      <c r="M312" s="268">
        <f t="shared" si="276"/>
        <v>0</v>
      </c>
      <c r="N312" s="268">
        <f t="shared" si="276"/>
        <v>0</v>
      </c>
      <c r="O312" s="268">
        <f t="shared" si="276"/>
        <v>0</v>
      </c>
      <c r="P312" s="268">
        <f t="shared" si="276"/>
        <v>0</v>
      </c>
      <c r="Q312" s="269">
        <f t="shared" si="276"/>
        <v>0</v>
      </c>
      <c r="R312" s="264">
        <f>SUM(R313:R316)</f>
        <v>900</v>
      </c>
      <c r="S312" s="265">
        <f t="shared" si="266"/>
        <v>0</v>
      </c>
      <c r="T312" s="275">
        <f t="shared" si="267"/>
        <v>900</v>
      </c>
      <c r="U312" s="267">
        <f t="shared" ref="U312:AC312" si="277">SUM(U313:U316)</f>
        <v>900</v>
      </c>
      <c r="V312" s="268">
        <f t="shared" si="277"/>
        <v>0</v>
      </c>
      <c r="W312" s="268">
        <f t="shared" si="277"/>
        <v>0</v>
      </c>
      <c r="X312" s="268">
        <f t="shared" si="277"/>
        <v>0</v>
      </c>
      <c r="Y312" s="268">
        <f t="shared" si="277"/>
        <v>0</v>
      </c>
      <c r="Z312" s="268">
        <f t="shared" si="277"/>
        <v>0</v>
      </c>
      <c r="AA312" s="268">
        <f t="shared" si="277"/>
        <v>0</v>
      </c>
      <c r="AB312" s="268">
        <f t="shared" si="277"/>
        <v>0</v>
      </c>
      <c r="AC312" s="269">
        <f t="shared" si="277"/>
        <v>0</v>
      </c>
      <c r="AD312" s="264">
        <f>SUM(AD313:AD316)</f>
        <v>56</v>
      </c>
      <c r="AE312" s="265">
        <f t="shared" si="235"/>
        <v>-56</v>
      </c>
      <c r="AF312" s="266">
        <f t="shared" si="236"/>
        <v>0</v>
      </c>
      <c r="AG312" s="267">
        <f t="shared" ref="AG312:AO312" si="278">SUM(AG313:AG316)</f>
        <v>0</v>
      </c>
      <c r="AH312" s="268">
        <f t="shared" si="278"/>
        <v>0</v>
      </c>
      <c r="AI312" s="268">
        <f t="shared" si="278"/>
        <v>0</v>
      </c>
      <c r="AJ312" s="268">
        <f t="shared" si="278"/>
        <v>0</v>
      </c>
      <c r="AK312" s="268">
        <f t="shared" si="278"/>
        <v>0</v>
      </c>
      <c r="AL312" s="268">
        <f t="shared" si="278"/>
        <v>0</v>
      </c>
      <c r="AM312" s="268">
        <f t="shared" si="278"/>
        <v>0</v>
      </c>
      <c r="AN312" s="268">
        <f t="shared" si="278"/>
        <v>0</v>
      </c>
      <c r="AO312" s="269">
        <f t="shared" si="278"/>
        <v>0</v>
      </c>
      <c r="AP312" s="276">
        <v>3870</v>
      </c>
      <c r="AQ312" s="276">
        <v>1087.6199999999999</v>
      </c>
      <c r="AR312" s="277">
        <f>AQ312*100/AP312</f>
        <v>28.103875968992245</v>
      </c>
      <c r="AS312" s="278">
        <f t="shared" si="224"/>
        <v>1</v>
      </c>
      <c r="AT312" s="279">
        <f t="shared" si="225"/>
        <v>1</v>
      </c>
      <c r="AU312" s="279">
        <f t="shared" si="226"/>
        <v>6.222222222222222E-2</v>
      </c>
      <c r="AV312" s="279">
        <f t="shared" si="227"/>
        <v>0</v>
      </c>
    </row>
    <row r="313" spans="1:48" outlineLevel="1" x14ac:dyDescent="0.25">
      <c r="A313" s="4" t="s">
        <v>1004</v>
      </c>
      <c r="B313" s="75" t="s">
        <v>510</v>
      </c>
      <c r="C313" s="25" t="s">
        <v>102</v>
      </c>
      <c r="D313" s="92">
        <v>4</v>
      </c>
      <c r="E313" s="110">
        <v>150</v>
      </c>
      <c r="F313" s="93">
        <f t="shared" ref="F313:F328" si="279">D313*E313</f>
        <v>600</v>
      </c>
      <c r="G313" s="74">
        <f t="shared" si="248"/>
        <v>0</v>
      </c>
      <c r="H313" s="95">
        <f t="shared" si="240"/>
        <v>600</v>
      </c>
      <c r="I313" s="112">
        <v>600</v>
      </c>
      <c r="J313" s="57"/>
      <c r="K313" s="57"/>
      <c r="L313" s="57"/>
      <c r="M313" s="57"/>
      <c r="N313" s="57"/>
      <c r="O313" s="57"/>
      <c r="P313" s="68"/>
      <c r="Q313" s="58"/>
      <c r="R313" s="93">
        <v>600</v>
      </c>
      <c r="S313" s="74">
        <f t="shared" si="266"/>
        <v>0</v>
      </c>
      <c r="T313" s="95">
        <f t="shared" si="267"/>
        <v>600</v>
      </c>
      <c r="U313" s="112">
        <v>600</v>
      </c>
      <c r="V313" s="57"/>
      <c r="W313" s="57"/>
      <c r="X313" s="57"/>
      <c r="Y313" s="57"/>
      <c r="Z313" s="57"/>
      <c r="AA313" s="57"/>
      <c r="AB313" s="68"/>
      <c r="AC313" s="58"/>
      <c r="AD313" s="170">
        <v>56</v>
      </c>
      <c r="AE313" s="89">
        <f t="shared" si="235"/>
        <v>-56</v>
      </c>
      <c r="AF313" s="216">
        <f t="shared" si="236"/>
        <v>0</v>
      </c>
      <c r="AG313" s="147"/>
      <c r="AH313" s="148"/>
      <c r="AI313" s="148"/>
      <c r="AJ313" s="148"/>
      <c r="AK313" s="148"/>
      <c r="AL313" s="148"/>
      <c r="AM313" s="148"/>
      <c r="AN313" s="149"/>
      <c r="AO313" s="150"/>
      <c r="AP313" s="76"/>
      <c r="AQ313" s="76"/>
      <c r="AR313" s="128"/>
      <c r="AS313" s="108">
        <f t="shared" si="224"/>
        <v>1</v>
      </c>
      <c r="AT313" s="249">
        <f t="shared" si="225"/>
        <v>1</v>
      </c>
      <c r="AU313" s="249">
        <f t="shared" si="226"/>
        <v>9.3333333333333338E-2</v>
      </c>
      <c r="AV313" s="249">
        <f t="shared" si="227"/>
        <v>0</v>
      </c>
    </row>
    <row r="314" spans="1:48" outlineLevel="1" x14ac:dyDescent="0.25">
      <c r="A314" s="4" t="s">
        <v>1101</v>
      </c>
      <c r="B314" s="75" t="s">
        <v>511</v>
      </c>
      <c r="C314" s="25"/>
      <c r="D314" s="92">
        <v>1</v>
      </c>
      <c r="E314" s="110">
        <v>0</v>
      </c>
      <c r="F314" s="93">
        <f t="shared" si="279"/>
        <v>0</v>
      </c>
      <c r="G314" s="74">
        <f t="shared" si="248"/>
        <v>0</v>
      </c>
      <c r="H314" s="95">
        <f t="shared" si="240"/>
        <v>0</v>
      </c>
      <c r="I314" s="112"/>
      <c r="J314" s="57"/>
      <c r="K314" s="57"/>
      <c r="L314" s="57"/>
      <c r="M314" s="57"/>
      <c r="N314" s="57"/>
      <c r="O314" s="57"/>
      <c r="P314" s="68"/>
      <c r="Q314" s="58"/>
      <c r="R314" s="93">
        <v>0</v>
      </c>
      <c r="S314" s="74">
        <f t="shared" si="266"/>
        <v>0</v>
      </c>
      <c r="T314" s="95">
        <f t="shared" si="267"/>
        <v>0</v>
      </c>
      <c r="U314" s="112"/>
      <c r="V314" s="57"/>
      <c r="W314" s="57"/>
      <c r="X314" s="57"/>
      <c r="Y314" s="57"/>
      <c r="Z314" s="57"/>
      <c r="AA314" s="57"/>
      <c r="AB314" s="68"/>
      <c r="AC314" s="58"/>
      <c r="AD314" s="170">
        <f>P314*Q314</f>
        <v>0</v>
      </c>
      <c r="AE314" s="89">
        <f t="shared" si="235"/>
        <v>0</v>
      </c>
      <c r="AF314" s="216">
        <f t="shared" si="236"/>
        <v>0</v>
      </c>
      <c r="AG314" s="147"/>
      <c r="AH314" s="148"/>
      <c r="AI314" s="148"/>
      <c r="AJ314" s="148"/>
      <c r="AK314" s="148"/>
      <c r="AL314" s="148"/>
      <c r="AM314" s="148"/>
      <c r="AN314" s="149"/>
      <c r="AO314" s="150"/>
      <c r="AP314" s="76"/>
      <c r="AQ314" s="76"/>
      <c r="AR314" s="128"/>
      <c r="AS314" s="108"/>
      <c r="AT314" s="249"/>
      <c r="AU314" s="249"/>
      <c r="AV314" s="249"/>
    </row>
    <row r="315" spans="1:48" outlineLevel="1" x14ac:dyDescent="0.25">
      <c r="A315" s="4" t="s">
        <v>1102</v>
      </c>
      <c r="B315" s="75" t="s">
        <v>512</v>
      </c>
      <c r="C315" s="25"/>
      <c r="D315" s="92">
        <v>1</v>
      </c>
      <c r="E315" s="110">
        <v>300</v>
      </c>
      <c r="F315" s="93">
        <f t="shared" si="279"/>
        <v>300</v>
      </c>
      <c r="G315" s="74">
        <f t="shared" si="248"/>
        <v>0</v>
      </c>
      <c r="H315" s="95">
        <f t="shared" si="240"/>
        <v>300</v>
      </c>
      <c r="I315" s="112">
        <v>300</v>
      </c>
      <c r="J315" s="57"/>
      <c r="K315" s="57"/>
      <c r="L315" s="57"/>
      <c r="M315" s="57"/>
      <c r="N315" s="57"/>
      <c r="O315" s="57"/>
      <c r="P315" s="68"/>
      <c r="Q315" s="58"/>
      <c r="R315" s="93">
        <v>300</v>
      </c>
      <c r="S315" s="74">
        <f t="shared" si="266"/>
        <v>0</v>
      </c>
      <c r="T315" s="95">
        <f t="shared" si="267"/>
        <v>300</v>
      </c>
      <c r="U315" s="112">
        <v>300</v>
      </c>
      <c r="V315" s="57"/>
      <c r="W315" s="57"/>
      <c r="X315" s="57"/>
      <c r="Y315" s="57"/>
      <c r="Z315" s="57"/>
      <c r="AA315" s="57"/>
      <c r="AB315" s="68"/>
      <c r="AC315" s="58"/>
      <c r="AD315" s="170">
        <f>P315*Q315</f>
        <v>0</v>
      </c>
      <c r="AE315" s="89">
        <f t="shared" si="235"/>
        <v>0</v>
      </c>
      <c r="AF315" s="216">
        <f t="shared" si="236"/>
        <v>0</v>
      </c>
      <c r="AG315" s="147"/>
      <c r="AH315" s="148"/>
      <c r="AI315" s="148"/>
      <c r="AJ315" s="148"/>
      <c r="AK315" s="148"/>
      <c r="AL315" s="148"/>
      <c r="AM315" s="148"/>
      <c r="AN315" s="149"/>
      <c r="AO315" s="150"/>
      <c r="AP315" s="76"/>
      <c r="AQ315" s="76"/>
      <c r="AR315" s="128"/>
      <c r="AS315" s="108">
        <f t="shared" si="224"/>
        <v>1</v>
      </c>
      <c r="AT315" s="249">
        <f t="shared" si="225"/>
        <v>1</v>
      </c>
      <c r="AU315" s="249">
        <f t="shared" si="226"/>
        <v>0</v>
      </c>
      <c r="AV315" s="249">
        <f t="shared" si="227"/>
        <v>0</v>
      </c>
    </row>
    <row r="316" spans="1:48" outlineLevel="1" x14ac:dyDescent="0.25">
      <c r="A316" s="4" t="s">
        <v>1103</v>
      </c>
      <c r="B316" s="75" t="s">
        <v>47</v>
      </c>
      <c r="C316" s="25"/>
      <c r="D316" s="92">
        <v>0</v>
      </c>
      <c r="E316" s="110">
        <v>0</v>
      </c>
      <c r="F316" s="93">
        <f t="shared" si="279"/>
        <v>0</v>
      </c>
      <c r="G316" s="74">
        <f t="shared" si="248"/>
        <v>0</v>
      </c>
      <c r="H316" s="95">
        <f t="shared" si="240"/>
        <v>0</v>
      </c>
      <c r="I316" s="112">
        <v>0</v>
      </c>
      <c r="J316" s="57"/>
      <c r="K316" s="57"/>
      <c r="L316" s="57"/>
      <c r="M316" s="57"/>
      <c r="N316" s="57"/>
      <c r="O316" s="57"/>
      <c r="P316" s="68"/>
      <c r="Q316" s="58"/>
      <c r="R316" s="93">
        <v>0</v>
      </c>
      <c r="S316" s="74">
        <f t="shared" si="266"/>
        <v>0</v>
      </c>
      <c r="T316" s="95">
        <f t="shared" si="267"/>
        <v>0</v>
      </c>
      <c r="U316" s="112">
        <v>0</v>
      </c>
      <c r="V316" s="57"/>
      <c r="W316" s="57"/>
      <c r="X316" s="57"/>
      <c r="Y316" s="57"/>
      <c r="Z316" s="57"/>
      <c r="AA316" s="57"/>
      <c r="AB316" s="68"/>
      <c r="AC316" s="58"/>
      <c r="AD316" s="170">
        <f>P316*Q316</f>
        <v>0</v>
      </c>
      <c r="AE316" s="89">
        <f t="shared" si="235"/>
        <v>0</v>
      </c>
      <c r="AF316" s="216">
        <f t="shared" si="236"/>
        <v>0</v>
      </c>
      <c r="AG316" s="147">
        <v>0</v>
      </c>
      <c r="AH316" s="148"/>
      <c r="AI316" s="148"/>
      <c r="AJ316" s="148"/>
      <c r="AK316" s="148"/>
      <c r="AL316" s="148"/>
      <c r="AM316" s="148"/>
      <c r="AN316" s="149"/>
      <c r="AO316" s="150"/>
      <c r="AP316" s="76"/>
      <c r="AQ316" s="76"/>
      <c r="AR316" s="128"/>
      <c r="AS316" s="108"/>
      <c r="AT316" s="249"/>
      <c r="AU316" s="249"/>
      <c r="AV316" s="249"/>
    </row>
    <row r="317" spans="1:48" s="280" customFormat="1" ht="15.75" x14ac:dyDescent="0.25">
      <c r="A317" s="270" t="s">
        <v>607</v>
      </c>
      <c r="B317" s="271" t="s">
        <v>166</v>
      </c>
      <c r="C317" s="272"/>
      <c r="D317" s="273">
        <v>1</v>
      </c>
      <c r="E317" s="274">
        <v>1223.1500000000001</v>
      </c>
      <c r="F317" s="264">
        <f t="shared" si="279"/>
        <v>1223.1500000000001</v>
      </c>
      <c r="G317" s="265">
        <f t="shared" si="248"/>
        <v>0</v>
      </c>
      <c r="H317" s="275">
        <f t="shared" si="240"/>
        <v>1223.1500000000001</v>
      </c>
      <c r="I317" s="267">
        <v>969.899</v>
      </c>
      <c r="J317" s="268"/>
      <c r="K317" s="268">
        <v>253.251</v>
      </c>
      <c r="L317" s="268"/>
      <c r="M317" s="268"/>
      <c r="N317" s="268"/>
      <c r="O317" s="268"/>
      <c r="P317" s="268"/>
      <c r="Q317" s="269"/>
      <c r="R317" s="264">
        <v>1223.1500000000001</v>
      </c>
      <c r="S317" s="265">
        <f t="shared" ref="S317:S337" si="280">T317-R317</f>
        <v>139.82999999999993</v>
      </c>
      <c r="T317" s="275">
        <f t="shared" ref="T317:T385" si="281">SUM(U317:AC317)</f>
        <v>1362.98</v>
      </c>
      <c r="U317" s="267">
        <v>969.899</v>
      </c>
      <c r="V317" s="268"/>
      <c r="W317" s="268">
        <f>1362.98-U317</f>
        <v>393.08100000000002</v>
      </c>
      <c r="X317" s="268"/>
      <c r="Y317" s="268"/>
      <c r="Z317" s="268"/>
      <c r="AA317" s="268"/>
      <c r="AB317" s="268"/>
      <c r="AC317" s="269"/>
      <c r="AD317" s="264">
        <v>463.95</v>
      </c>
      <c r="AE317" s="265">
        <f t="shared" si="235"/>
        <v>2544.0500000000002</v>
      </c>
      <c r="AF317" s="266">
        <f t="shared" si="236"/>
        <v>3008</v>
      </c>
      <c r="AG317" s="267"/>
      <c r="AH317" s="268"/>
      <c r="AI317" s="268"/>
      <c r="AJ317" s="268"/>
      <c r="AK317" s="268"/>
      <c r="AL317" s="268"/>
      <c r="AM317" s="268"/>
      <c r="AN317" s="268"/>
      <c r="AO317" s="269">
        <v>3008</v>
      </c>
      <c r="AP317" s="276">
        <v>1232</v>
      </c>
      <c r="AQ317" s="276">
        <v>1152.8699999999999</v>
      </c>
      <c r="AR317" s="277">
        <f t="shared" ref="AR317:AR330" si="282">AQ317*100/AP317</f>
        <v>93.577110389610382</v>
      </c>
      <c r="AS317" s="278">
        <f t="shared" si="224"/>
        <v>1</v>
      </c>
      <c r="AT317" s="279">
        <f t="shared" si="225"/>
        <v>1.1143195846789027</v>
      </c>
      <c r="AU317" s="279">
        <f t="shared" si="226"/>
        <v>0.37930752565098308</v>
      </c>
      <c r="AV317" s="279">
        <f t="shared" si="227"/>
        <v>2.4592241344070636</v>
      </c>
    </row>
    <row r="318" spans="1:48" s="280" customFormat="1" ht="15.75" x14ac:dyDescent="0.25">
      <c r="A318" s="270" t="s">
        <v>608</v>
      </c>
      <c r="B318" s="271" t="s">
        <v>165</v>
      </c>
      <c r="C318" s="272"/>
      <c r="D318" s="273">
        <v>1</v>
      </c>
      <c r="E318" s="274">
        <v>2453.2600000000002</v>
      </c>
      <c r="F318" s="264">
        <f t="shared" si="279"/>
        <v>2453.2600000000002</v>
      </c>
      <c r="G318" s="265">
        <f t="shared" si="248"/>
        <v>3.9999999999054126E-3</v>
      </c>
      <c r="H318" s="275">
        <f t="shared" si="240"/>
        <v>2453.2640000000001</v>
      </c>
      <c r="I318" s="267">
        <v>1945.32</v>
      </c>
      <c r="J318" s="268"/>
      <c r="K318" s="268">
        <v>507.94400000000002</v>
      </c>
      <c r="L318" s="268"/>
      <c r="M318" s="268"/>
      <c r="N318" s="268"/>
      <c r="O318" s="268"/>
      <c r="P318" s="268"/>
      <c r="Q318" s="269"/>
      <c r="R318" s="264">
        <v>2453.2600000000002</v>
      </c>
      <c r="S318" s="265">
        <f t="shared" si="280"/>
        <v>263.72999999999956</v>
      </c>
      <c r="T318" s="275">
        <f t="shared" si="281"/>
        <v>2716.99</v>
      </c>
      <c r="U318" s="267">
        <v>1945.32</v>
      </c>
      <c r="V318" s="268"/>
      <c r="W318" s="268">
        <f>2716.99-U318</f>
        <v>771.66999999999985</v>
      </c>
      <c r="X318" s="268"/>
      <c r="Y318" s="268"/>
      <c r="Z318" s="268"/>
      <c r="AA318" s="268"/>
      <c r="AB318" s="268"/>
      <c r="AC318" s="269"/>
      <c r="AD318" s="264">
        <v>895.47</v>
      </c>
      <c r="AE318" s="265">
        <f t="shared" si="235"/>
        <v>-29.180000000000064</v>
      </c>
      <c r="AF318" s="266">
        <f t="shared" si="236"/>
        <v>866.29</v>
      </c>
      <c r="AG318" s="267"/>
      <c r="AH318" s="268"/>
      <c r="AI318" s="268"/>
      <c r="AJ318" s="268"/>
      <c r="AK318" s="268"/>
      <c r="AL318" s="268"/>
      <c r="AM318" s="268"/>
      <c r="AN318" s="268"/>
      <c r="AO318" s="269">
        <v>866.29</v>
      </c>
      <c r="AP318" s="276">
        <v>2491</v>
      </c>
      <c r="AQ318" s="276">
        <v>5557.26</v>
      </c>
      <c r="AR318" s="277">
        <f t="shared" si="282"/>
        <v>223.09353673223606</v>
      </c>
      <c r="AS318" s="278">
        <f t="shared" si="224"/>
        <v>1</v>
      </c>
      <c r="AT318" s="279">
        <f t="shared" si="225"/>
        <v>1.1075000489144258</v>
      </c>
      <c r="AU318" s="279">
        <f t="shared" si="226"/>
        <v>0.36501226938848713</v>
      </c>
      <c r="AV318" s="279">
        <f t="shared" si="227"/>
        <v>0.35311731635894056</v>
      </c>
    </row>
    <row r="319" spans="1:48" s="280" customFormat="1" ht="15.75" x14ac:dyDescent="0.25">
      <c r="A319" s="270" t="s">
        <v>609</v>
      </c>
      <c r="B319" s="271" t="s">
        <v>177</v>
      </c>
      <c r="C319" s="272"/>
      <c r="D319" s="273">
        <v>1</v>
      </c>
      <c r="E319" s="274">
        <v>1536.42</v>
      </c>
      <c r="F319" s="264">
        <f t="shared" si="279"/>
        <v>1536.42</v>
      </c>
      <c r="G319" s="265">
        <f t="shared" si="248"/>
        <v>2.9999999999290594E-3</v>
      </c>
      <c r="H319" s="275">
        <f t="shared" si="240"/>
        <v>1536.423</v>
      </c>
      <c r="I319" s="267">
        <v>1218.31</v>
      </c>
      <c r="J319" s="268"/>
      <c r="K319" s="268">
        <v>318.113</v>
      </c>
      <c r="L319" s="268"/>
      <c r="M319" s="268"/>
      <c r="N319" s="268"/>
      <c r="O319" s="268"/>
      <c r="P319" s="268"/>
      <c r="Q319" s="269"/>
      <c r="R319" s="264">
        <v>1536.42</v>
      </c>
      <c r="S319" s="265">
        <f t="shared" si="280"/>
        <v>92.869999999999891</v>
      </c>
      <c r="T319" s="275">
        <f t="shared" si="281"/>
        <v>1629.29</v>
      </c>
      <c r="U319" s="267">
        <v>1218.31</v>
      </c>
      <c r="V319" s="268"/>
      <c r="W319" s="268">
        <f>1629.29-U319</f>
        <v>410.98</v>
      </c>
      <c r="X319" s="268"/>
      <c r="Y319" s="268"/>
      <c r="Z319" s="268"/>
      <c r="AA319" s="268"/>
      <c r="AB319" s="268"/>
      <c r="AC319" s="269"/>
      <c r="AD319" s="264">
        <v>237</v>
      </c>
      <c r="AE319" s="265">
        <f t="shared" si="235"/>
        <v>-20.610000000000014</v>
      </c>
      <c r="AF319" s="266">
        <f t="shared" si="236"/>
        <v>216.39</v>
      </c>
      <c r="AG319" s="267"/>
      <c r="AH319" s="268"/>
      <c r="AI319" s="268"/>
      <c r="AJ319" s="268"/>
      <c r="AK319" s="268"/>
      <c r="AL319" s="268"/>
      <c r="AM319" s="268"/>
      <c r="AN319" s="268"/>
      <c r="AO319" s="269">
        <v>216.39</v>
      </c>
      <c r="AP319" s="276">
        <v>1549</v>
      </c>
      <c r="AQ319" s="276">
        <v>1409.48</v>
      </c>
      <c r="AR319" s="277">
        <f t="shared" si="282"/>
        <v>90.99289864428664</v>
      </c>
      <c r="AS319" s="278">
        <f t="shared" si="224"/>
        <v>1</v>
      </c>
      <c r="AT319" s="279">
        <f t="shared" si="225"/>
        <v>1.0604436408463034</v>
      </c>
      <c r="AU319" s="279">
        <f t="shared" si="226"/>
        <v>0.15425469598156755</v>
      </c>
      <c r="AV319" s="279">
        <f t="shared" si="227"/>
        <v>0.14084012020127268</v>
      </c>
    </row>
    <row r="320" spans="1:48" s="280" customFormat="1" ht="15.75" x14ac:dyDescent="0.25">
      <c r="A320" s="270" t="s">
        <v>610</v>
      </c>
      <c r="B320" s="271" t="s">
        <v>179</v>
      </c>
      <c r="C320" s="272"/>
      <c r="D320" s="273">
        <v>1</v>
      </c>
      <c r="E320" s="274">
        <v>2742.25</v>
      </c>
      <c r="F320" s="264">
        <f t="shared" si="279"/>
        <v>2742.25</v>
      </c>
      <c r="G320" s="265">
        <f t="shared" si="248"/>
        <v>-1.0000000000218279E-2</v>
      </c>
      <c r="H320" s="275">
        <f t="shared" si="240"/>
        <v>2742.24</v>
      </c>
      <c r="I320" s="267">
        <v>2174.4699999999998</v>
      </c>
      <c r="J320" s="268"/>
      <c r="K320" s="268">
        <v>567.77</v>
      </c>
      <c r="L320" s="268"/>
      <c r="M320" s="268"/>
      <c r="N320" s="268"/>
      <c r="O320" s="268"/>
      <c r="P320" s="268"/>
      <c r="Q320" s="269"/>
      <c r="R320" s="264">
        <v>2742.25</v>
      </c>
      <c r="S320" s="265">
        <f t="shared" si="280"/>
        <v>83.409999999999854</v>
      </c>
      <c r="T320" s="275">
        <f t="shared" si="281"/>
        <v>2825.66</v>
      </c>
      <c r="U320" s="267">
        <v>2174.4699999999998</v>
      </c>
      <c r="V320" s="268"/>
      <c r="W320" s="268">
        <f>2825.66-U320</f>
        <v>651.19000000000005</v>
      </c>
      <c r="X320" s="268"/>
      <c r="Y320" s="268"/>
      <c r="Z320" s="268"/>
      <c r="AA320" s="268"/>
      <c r="AB320" s="268"/>
      <c r="AC320" s="269"/>
      <c r="AD320" s="264">
        <v>1020.44</v>
      </c>
      <c r="AE320" s="265">
        <f t="shared" si="235"/>
        <v>-1051.94</v>
      </c>
      <c r="AF320" s="266">
        <f t="shared" si="236"/>
        <v>-31.5</v>
      </c>
      <c r="AG320" s="267"/>
      <c r="AH320" s="268"/>
      <c r="AI320" s="268"/>
      <c r="AJ320" s="268"/>
      <c r="AK320" s="268"/>
      <c r="AL320" s="268"/>
      <c r="AM320" s="268"/>
      <c r="AN320" s="268"/>
      <c r="AO320" s="269">
        <v>-31.5</v>
      </c>
      <c r="AP320" s="276">
        <v>2779</v>
      </c>
      <c r="AQ320" s="276">
        <v>3646.21</v>
      </c>
      <c r="AR320" s="277">
        <f t="shared" si="282"/>
        <v>131.20582943504857</v>
      </c>
      <c r="AS320" s="278">
        <f t="shared" si="224"/>
        <v>1</v>
      </c>
      <c r="AT320" s="279">
        <f t="shared" si="225"/>
        <v>1.0304203862535737</v>
      </c>
      <c r="AU320" s="279">
        <f t="shared" si="226"/>
        <v>0.37211778648919686</v>
      </c>
      <c r="AV320" s="279">
        <f t="shared" si="227"/>
        <v>-1.1486959565902328E-2</v>
      </c>
    </row>
    <row r="321" spans="1:48" s="280" customFormat="1" ht="15.75" x14ac:dyDescent="0.25">
      <c r="A321" s="270" t="s">
        <v>611</v>
      </c>
      <c r="B321" s="271" t="s">
        <v>183</v>
      </c>
      <c r="C321" s="272"/>
      <c r="D321" s="273">
        <v>1</v>
      </c>
      <c r="E321" s="274">
        <v>1304.9100000000001</v>
      </c>
      <c r="F321" s="264">
        <f t="shared" si="279"/>
        <v>1304.9100000000001</v>
      </c>
      <c r="G321" s="265">
        <f t="shared" si="248"/>
        <v>0</v>
      </c>
      <c r="H321" s="275">
        <f t="shared" si="240"/>
        <v>1304.9100000000001</v>
      </c>
      <c r="I321" s="267">
        <v>1034.73</v>
      </c>
      <c r="J321" s="268"/>
      <c r="K321" s="268">
        <v>270.18</v>
      </c>
      <c r="L321" s="268"/>
      <c r="M321" s="268"/>
      <c r="N321" s="268"/>
      <c r="O321" s="268"/>
      <c r="P321" s="268"/>
      <c r="Q321" s="269"/>
      <c r="R321" s="264">
        <v>1304.9100000000001</v>
      </c>
      <c r="S321" s="265">
        <f t="shared" si="280"/>
        <v>13.849999999999909</v>
      </c>
      <c r="T321" s="275">
        <f t="shared" si="281"/>
        <v>1318.76</v>
      </c>
      <c r="U321" s="267">
        <v>1034.73</v>
      </c>
      <c r="V321" s="268"/>
      <c r="W321" s="268">
        <f>1318.76-U321</f>
        <v>284.02999999999997</v>
      </c>
      <c r="X321" s="268"/>
      <c r="Y321" s="268"/>
      <c r="Z321" s="268"/>
      <c r="AA321" s="268"/>
      <c r="AB321" s="268"/>
      <c r="AC321" s="269"/>
      <c r="AD321" s="264">
        <v>382</v>
      </c>
      <c r="AE321" s="265">
        <f t="shared" si="235"/>
        <v>1279.1300000000001</v>
      </c>
      <c r="AF321" s="266">
        <f t="shared" si="236"/>
        <v>1661.13</v>
      </c>
      <c r="AG321" s="267"/>
      <c r="AH321" s="268"/>
      <c r="AI321" s="268"/>
      <c r="AJ321" s="268"/>
      <c r="AK321" s="268"/>
      <c r="AL321" s="268"/>
      <c r="AM321" s="268"/>
      <c r="AN321" s="268"/>
      <c r="AO321" s="269">
        <v>1661.13</v>
      </c>
      <c r="AP321" s="276">
        <v>1318</v>
      </c>
      <c r="AQ321" s="276">
        <v>602.12</v>
      </c>
      <c r="AR321" s="277">
        <f t="shared" si="282"/>
        <v>45.684370257966613</v>
      </c>
      <c r="AS321" s="278">
        <f t="shared" si="224"/>
        <v>1</v>
      </c>
      <c r="AT321" s="279">
        <f t="shared" si="225"/>
        <v>1.0106137588032891</v>
      </c>
      <c r="AU321" s="279">
        <f t="shared" si="226"/>
        <v>0.2927404955131005</v>
      </c>
      <c r="AV321" s="279">
        <f t="shared" si="227"/>
        <v>1.2729843437478447</v>
      </c>
    </row>
    <row r="322" spans="1:48" s="280" customFormat="1" ht="15.75" x14ac:dyDescent="0.25">
      <c r="A322" s="270" t="s">
        <v>612</v>
      </c>
      <c r="B322" s="271" t="s">
        <v>188</v>
      </c>
      <c r="C322" s="272"/>
      <c r="D322" s="273">
        <v>1</v>
      </c>
      <c r="E322" s="274">
        <v>1396.59</v>
      </c>
      <c r="F322" s="264">
        <f t="shared" si="279"/>
        <v>1396.59</v>
      </c>
      <c r="G322" s="265">
        <f t="shared" si="248"/>
        <v>2.00000000018008E-3</v>
      </c>
      <c r="H322" s="275">
        <f t="shared" si="240"/>
        <v>1396.5920000000001</v>
      </c>
      <c r="I322" s="267">
        <v>1107.43</v>
      </c>
      <c r="J322" s="268"/>
      <c r="K322" s="268">
        <v>289.16199999999998</v>
      </c>
      <c r="L322" s="268"/>
      <c r="M322" s="268"/>
      <c r="N322" s="268"/>
      <c r="O322" s="268"/>
      <c r="P322" s="268"/>
      <c r="Q322" s="269"/>
      <c r="R322" s="264">
        <v>1396.59</v>
      </c>
      <c r="S322" s="265">
        <f t="shared" si="280"/>
        <v>63.830000000000155</v>
      </c>
      <c r="T322" s="275">
        <f t="shared" si="281"/>
        <v>1460.42</v>
      </c>
      <c r="U322" s="267">
        <v>1107.43</v>
      </c>
      <c r="V322" s="268"/>
      <c r="W322" s="268">
        <f>1460.42-U322</f>
        <v>352.99</v>
      </c>
      <c r="X322" s="268"/>
      <c r="Y322" s="268"/>
      <c r="Z322" s="268"/>
      <c r="AA322" s="268"/>
      <c r="AB322" s="268"/>
      <c r="AC322" s="269"/>
      <c r="AD322" s="264">
        <v>100.64</v>
      </c>
      <c r="AE322" s="265">
        <f t="shared" si="235"/>
        <v>941.7600000000001</v>
      </c>
      <c r="AF322" s="266">
        <f t="shared" si="236"/>
        <v>1042.4000000000001</v>
      </c>
      <c r="AG322" s="267"/>
      <c r="AH322" s="268"/>
      <c r="AI322" s="268"/>
      <c r="AJ322" s="268"/>
      <c r="AK322" s="268"/>
      <c r="AL322" s="268"/>
      <c r="AM322" s="268"/>
      <c r="AN322" s="268"/>
      <c r="AO322" s="269">
        <v>1042.4000000000001</v>
      </c>
      <c r="AP322" s="276">
        <v>1406</v>
      </c>
      <c r="AQ322" s="276">
        <v>1484.59</v>
      </c>
      <c r="AR322" s="277">
        <f t="shared" si="282"/>
        <v>105.5896159317212</v>
      </c>
      <c r="AS322" s="278">
        <f t="shared" si="224"/>
        <v>1</v>
      </c>
      <c r="AT322" s="279">
        <f t="shared" si="225"/>
        <v>1.0457026819572215</v>
      </c>
      <c r="AU322" s="279">
        <f t="shared" si="226"/>
        <v>7.2061234864920984E-2</v>
      </c>
      <c r="AV322" s="279">
        <f t="shared" si="227"/>
        <v>0.74638835107175183</v>
      </c>
    </row>
    <row r="323" spans="1:48" s="280" customFormat="1" ht="15.75" x14ac:dyDescent="0.25">
      <c r="A323" s="270" t="s">
        <v>613</v>
      </c>
      <c r="B323" s="271" t="s">
        <v>195</v>
      </c>
      <c r="C323" s="272"/>
      <c r="D323" s="273">
        <v>1</v>
      </c>
      <c r="E323" s="274">
        <v>2338.5300000000002</v>
      </c>
      <c r="F323" s="264">
        <f t="shared" si="279"/>
        <v>2338.5300000000002</v>
      </c>
      <c r="G323" s="265">
        <f t="shared" si="248"/>
        <v>-1.0000000002037268E-3</v>
      </c>
      <c r="H323" s="275">
        <f t="shared" si="240"/>
        <v>2338.529</v>
      </c>
      <c r="I323" s="267">
        <v>1854.34</v>
      </c>
      <c r="J323" s="268"/>
      <c r="K323" s="268">
        <v>484.18900000000002</v>
      </c>
      <c r="L323" s="268"/>
      <c r="M323" s="268"/>
      <c r="N323" s="268"/>
      <c r="O323" s="268"/>
      <c r="P323" s="268"/>
      <c r="Q323" s="269"/>
      <c r="R323" s="264">
        <v>2338.5300000000002</v>
      </c>
      <c r="S323" s="265">
        <f t="shared" si="280"/>
        <v>189.07999999999993</v>
      </c>
      <c r="T323" s="275">
        <f t="shared" si="281"/>
        <v>2527.61</v>
      </c>
      <c r="U323" s="267">
        <v>1854.34</v>
      </c>
      <c r="V323" s="268"/>
      <c r="W323" s="268">
        <f>2527.61-U323</f>
        <v>673.27000000000021</v>
      </c>
      <c r="X323" s="268"/>
      <c r="Y323" s="268"/>
      <c r="Z323" s="268"/>
      <c r="AA323" s="268"/>
      <c r="AB323" s="268"/>
      <c r="AC323" s="269"/>
      <c r="AD323" s="264">
        <v>564.86</v>
      </c>
      <c r="AE323" s="265">
        <f t="shared" si="235"/>
        <v>813.25999999999988</v>
      </c>
      <c r="AF323" s="266">
        <f t="shared" si="236"/>
        <v>1378.12</v>
      </c>
      <c r="AG323" s="267"/>
      <c r="AH323" s="268"/>
      <c r="AI323" s="268"/>
      <c r="AJ323" s="268"/>
      <c r="AK323" s="268"/>
      <c r="AL323" s="268"/>
      <c r="AM323" s="268"/>
      <c r="AN323" s="268"/>
      <c r="AO323" s="269">
        <v>1378.12</v>
      </c>
      <c r="AP323" s="276">
        <v>2366</v>
      </c>
      <c r="AQ323" s="276">
        <f>1218.59+633.94+246.51+282+100+200</f>
        <v>2681.04</v>
      </c>
      <c r="AR323" s="277">
        <f t="shared" si="282"/>
        <v>113.31530008453085</v>
      </c>
      <c r="AS323" s="278">
        <f t="shared" si="224"/>
        <v>1</v>
      </c>
      <c r="AT323" s="279">
        <f t="shared" si="225"/>
        <v>1.0808546740279894</v>
      </c>
      <c r="AU323" s="279">
        <f t="shared" si="226"/>
        <v>0.24154490213937815</v>
      </c>
      <c r="AV323" s="279">
        <f t="shared" si="227"/>
        <v>0.5893106307426591</v>
      </c>
    </row>
    <row r="324" spans="1:48" s="280" customFormat="1" ht="15.75" x14ac:dyDescent="0.25">
      <c r="A324" s="270" t="s">
        <v>614</v>
      </c>
      <c r="B324" s="271" t="s">
        <v>202</v>
      </c>
      <c r="C324" s="272"/>
      <c r="D324" s="273">
        <v>1</v>
      </c>
      <c r="E324" s="274">
        <v>1095.1400000000001</v>
      </c>
      <c r="F324" s="264">
        <f t="shared" si="279"/>
        <v>1095.1400000000001</v>
      </c>
      <c r="G324" s="265">
        <f t="shared" si="248"/>
        <v>0</v>
      </c>
      <c r="H324" s="275">
        <f t="shared" si="240"/>
        <v>1095.1400000000001</v>
      </c>
      <c r="I324" s="267">
        <v>868.39300000000003</v>
      </c>
      <c r="J324" s="268"/>
      <c r="K324" s="268">
        <v>226.74700000000001</v>
      </c>
      <c r="L324" s="268"/>
      <c r="M324" s="268"/>
      <c r="N324" s="268"/>
      <c r="O324" s="268"/>
      <c r="P324" s="268"/>
      <c r="Q324" s="269"/>
      <c r="R324" s="264">
        <v>1095.1400000000001</v>
      </c>
      <c r="S324" s="265">
        <f t="shared" si="280"/>
        <v>49.819999999999936</v>
      </c>
      <c r="T324" s="275">
        <f t="shared" si="281"/>
        <v>1144.96</v>
      </c>
      <c r="U324" s="267">
        <v>868.39300000000003</v>
      </c>
      <c r="V324" s="268"/>
      <c r="W324" s="268">
        <f>1144.96-U324</f>
        <v>276.56700000000001</v>
      </c>
      <c r="X324" s="268"/>
      <c r="Y324" s="268"/>
      <c r="Z324" s="268"/>
      <c r="AA324" s="268"/>
      <c r="AB324" s="268"/>
      <c r="AC324" s="269"/>
      <c r="AD324" s="264">
        <v>543.09</v>
      </c>
      <c r="AE324" s="265">
        <f t="shared" si="235"/>
        <v>1006.7299999999999</v>
      </c>
      <c r="AF324" s="266">
        <f t="shared" si="236"/>
        <v>1549.82</v>
      </c>
      <c r="AG324" s="267"/>
      <c r="AH324" s="268"/>
      <c r="AI324" s="268"/>
      <c r="AJ324" s="268"/>
      <c r="AK324" s="268"/>
      <c r="AL324" s="268"/>
      <c r="AM324" s="268"/>
      <c r="AN324" s="268"/>
      <c r="AO324" s="269">
        <v>1549.82</v>
      </c>
      <c r="AP324" s="276">
        <v>1102</v>
      </c>
      <c r="AQ324" s="276">
        <v>1759.73</v>
      </c>
      <c r="AR324" s="277">
        <f t="shared" si="282"/>
        <v>159.68511796733213</v>
      </c>
      <c r="AS324" s="278">
        <f t="shared" si="224"/>
        <v>1</v>
      </c>
      <c r="AT324" s="279">
        <f t="shared" si="225"/>
        <v>1.0454919005789214</v>
      </c>
      <c r="AU324" s="279">
        <f t="shared" si="226"/>
        <v>0.49590919882389467</v>
      </c>
      <c r="AV324" s="279">
        <f t="shared" si="227"/>
        <v>1.4151797943641906</v>
      </c>
    </row>
    <row r="325" spans="1:48" s="280" customFormat="1" ht="15.75" x14ac:dyDescent="0.25">
      <c r="A325" s="270" t="s">
        <v>615</v>
      </c>
      <c r="B325" s="271" t="s">
        <v>204</v>
      </c>
      <c r="C325" s="272"/>
      <c r="D325" s="273">
        <v>1</v>
      </c>
      <c r="E325" s="274">
        <v>1505.81</v>
      </c>
      <c r="F325" s="264">
        <f t="shared" si="279"/>
        <v>1505.81</v>
      </c>
      <c r="G325" s="265">
        <f t="shared" si="248"/>
        <v>-3.9999999999054126E-3</v>
      </c>
      <c r="H325" s="275">
        <f t="shared" si="240"/>
        <v>1505.806</v>
      </c>
      <c r="I325" s="267">
        <v>1194.03</v>
      </c>
      <c r="J325" s="268"/>
      <c r="K325" s="268">
        <v>311.77600000000001</v>
      </c>
      <c r="L325" s="268"/>
      <c r="M325" s="268"/>
      <c r="N325" s="268"/>
      <c r="O325" s="268"/>
      <c r="P325" s="268"/>
      <c r="Q325" s="269"/>
      <c r="R325" s="264">
        <v>1505.81</v>
      </c>
      <c r="S325" s="265">
        <f t="shared" si="280"/>
        <v>105.27999999999997</v>
      </c>
      <c r="T325" s="275">
        <f t="shared" si="281"/>
        <v>1611.09</v>
      </c>
      <c r="U325" s="267">
        <v>1194.03</v>
      </c>
      <c r="V325" s="268"/>
      <c r="W325" s="268">
        <f>1611.09-U325</f>
        <v>417.05999999999995</v>
      </c>
      <c r="X325" s="268"/>
      <c r="Y325" s="268"/>
      <c r="Z325" s="268"/>
      <c r="AA325" s="268"/>
      <c r="AB325" s="268"/>
      <c r="AC325" s="269"/>
      <c r="AD325" s="264">
        <v>150</v>
      </c>
      <c r="AE325" s="265">
        <f t="shared" si="235"/>
        <v>-136.85</v>
      </c>
      <c r="AF325" s="266">
        <f t="shared" si="236"/>
        <v>13.15</v>
      </c>
      <c r="AG325" s="267"/>
      <c r="AH325" s="268"/>
      <c r="AI325" s="268"/>
      <c r="AJ325" s="268"/>
      <c r="AK325" s="268"/>
      <c r="AL325" s="268"/>
      <c r="AM325" s="268"/>
      <c r="AN325" s="268"/>
      <c r="AO325" s="269">
        <v>13.15</v>
      </c>
      <c r="AP325" s="276">
        <v>1521</v>
      </c>
      <c r="AQ325" s="276">
        <v>2395.9899999999998</v>
      </c>
      <c r="AR325" s="277">
        <f t="shared" si="282"/>
        <v>157.52728468113082</v>
      </c>
      <c r="AS325" s="278">
        <f t="shared" ref="AS325:AS387" si="283">+R325/F325</f>
        <v>1</v>
      </c>
      <c r="AT325" s="279">
        <f t="shared" ref="AT325:AT387" si="284">+T325/H325</f>
        <v>1.0699187013466542</v>
      </c>
      <c r="AU325" s="279">
        <f t="shared" ref="AU325:AU387" si="285">+AD325/F325</f>
        <v>9.9614161149148964E-2</v>
      </c>
      <c r="AV325" s="279">
        <f t="shared" ref="AV325:AV387" si="286">+AF325/H325</f>
        <v>8.7328646585283897E-3</v>
      </c>
    </row>
    <row r="326" spans="1:48" s="280" customFormat="1" ht="15.75" x14ac:dyDescent="0.25">
      <c r="A326" s="270" t="s">
        <v>616</v>
      </c>
      <c r="B326" s="271" t="s">
        <v>206</v>
      </c>
      <c r="C326" s="272"/>
      <c r="D326" s="273">
        <v>1</v>
      </c>
      <c r="E326" s="274">
        <v>1351.42</v>
      </c>
      <c r="F326" s="264">
        <f t="shared" si="279"/>
        <v>1351.42</v>
      </c>
      <c r="G326" s="265">
        <f t="shared" si="248"/>
        <v>-1.0000000002037268E-3</v>
      </c>
      <c r="H326" s="275">
        <f t="shared" si="240"/>
        <v>1351.4189999999999</v>
      </c>
      <c r="I326" s="267">
        <v>1071.6099999999999</v>
      </c>
      <c r="J326" s="268"/>
      <c r="K326" s="268">
        <v>279.80900000000003</v>
      </c>
      <c r="L326" s="268"/>
      <c r="M326" s="268"/>
      <c r="N326" s="268"/>
      <c r="O326" s="268"/>
      <c r="P326" s="268"/>
      <c r="Q326" s="269"/>
      <c r="R326" s="264">
        <v>1351.42</v>
      </c>
      <c r="S326" s="265">
        <f t="shared" si="280"/>
        <v>66.369999999999891</v>
      </c>
      <c r="T326" s="275">
        <f t="shared" si="281"/>
        <v>1417.79</v>
      </c>
      <c r="U326" s="267">
        <v>1071.6099999999999</v>
      </c>
      <c r="V326" s="268"/>
      <c r="W326" s="268">
        <f>1417.79-U326</f>
        <v>346.18000000000006</v>
      </c>
      <c r="X326" s="268"/>
      <c r="Y326" s="268"/>
      <c r="Z326" s="268"/>
      <c r="AA326" s="268"/>
      <c r="AB326" s="268"/>
      <c r="AC326" s="269"/>
      <c r="AD326" s="264"/>
      <c r="AE326" s="265">
        <f t="shared" si="235"/>
        <v>798.61</v>
      </c>
      <c r="AF326" s="266">
        <f t="shared" si="236"/>
        <v>798.61</v>
      </c>
      <c r="AG326" s="267"/>
      <c r="AH326" s="268"/>
      <c r="AI326" s="268"/>
      <c r="AJ326" s="268"/>
      <c r="AK326" s="268"/>
      <c r="AL326" s="268"/>
      <c r="AM326" s="268"/>
      <c r="AN326" s="268"/>
      <c r="AO326" s="269">
        <v>798.61</v>
      </c>
      <c r="AP326" s="276">
        <v>1362</v>
      </c>
      <c r="AQ326" s="276">
        <v>1274.0999999999999</v>
      </c>
      <c r="AR326" s="277">
        <f t="shared" si="282"/>
        <v>93.54625550660792</v>
      </c>
      <c r="AS326" s="278">
        <f t="shared" si="283"/>
        <v>1</v>
      </c>
      <c r="AT326" s="279">
        <f t="shared" si="284"/>
        <v>1.0491120814492028</v>
      </c>
      <c r="AU326" s="279">
        <f t="shared" si="285"/>
        <v>0</v>
      </c>
      <c r="AV326" s="279">
        <f t="shared" si="286"/>
        <v>0.59094181745261842</v>
      </c>
    </row>
    <row r="327" spans="1:48" s="280" customFormat="1" ht="15.75" x14ac:dyDescent="0.25">
      <c r="A327" s="270" t="s">
        <v>617</v>
      </c>
      <c r="B327" s="271" t="s">
        <v>207</v>
      </c>
      <c r="C327" s="272"/>
      <c r="D327" s="273">
        <v>1</v>
      </c>
      <c r="E327" s="274">
        <v>3092.24</v>
      </c>
      <c r="F327" s="264">
        <f t="shared" si="279"/>
        <v>3092.24</v>
      </c>
      <c r="G327" s="265">
        <f t="shared" si="248"/>
        <v>4.0000000003601599E-3</v>
      </c>
      <c r="H327" s="275">
        <f t="shared" si="240"/>
        <v>3092.2440000000001</v>
      </c>
      <c r="I327" s="267">
        <v>2452</v>
      </c>
      <c r="J327" s="268"/>
      <c r="K327" s="268">
        <v>640.24400000000003</v>
      </c>
      <c r="L327" s="268"/>
      <c r="M327" s="268"/>
      <c r="N327" s="268"/>
      <c r="O327" s="268"/>
      <c r="P327" s="268"/>
      <c r="Q327" s="269"/>
      <c r="R327" s="264">
        <v>3092.24</v>
      </c>
      <c r="S327" s="265">
        <f t="shared" si="280"/>
        <v>387.0300000000002</v>
      </c>
      <c r="T327" s="275">
        <f t="shared" si="281"/>
        <v>3479.27</v>
      </c>
      <c r="U327" s="267">
        <v>2452</v>
      </c>
      <c r="V327" s="268"/>
      <c r="W327" s="268">
        <f>3479.27-U327</f>
        <v>1027.27</v>
      </c>
      <c r="X327" s="268"/>
      <c r="Y327" s="268"/>
      <c r="Z327" s="268"/>
      <c r="AA327" s="268"/>
      <c r="AB327" s="268"/>
      <c r="AC327" s="269"/>
      <c r="AD327" s="264">
        <v>528.41999999999996</v>
      </c>
      <c r="AE327" s="265">
        <f t="shared" si="235"/>
        <v>-784.68</v>
      </c>
      <c r="AF327" s="266">
        <f t="shared" si="236"/>
        <v>-256.26</v>
      </c>
      <c r="AG327" s="267"/>
      <c r="AH327" s="268"/>
      <c r="AI327" s="268"/>
      <c r="AJ327" s="268"/>
      <c r="AK327" s="268"/>
      <c r="AL327" s="268"/>
      <c r="AM327" s="268"/>
      <c r="AN327" s="268"/>
      <c r="AO327" s="269">
        <v>-256.26</v>
      </c>
      <c r="AP327" s="276">
        <v>3133</v>
      </c>
      <c r="AQ327" s="276">
        <v>5666.04</v>
      </c>
      <c r="AR327" s="277">
        <f t="shared" si="282"/>
        <v>180.8503032237472</v>
      </c>
      <c r="AS327" s="278">
        <f t="shared" si="283"/>
        <v>1</v>
      </c>
      <c r="AT327" s="279">
        <f t="shared" si="284"/>
        <v>1.1251602396188658</v>
      </c>
      <c r="AU327" s="279">
        <f t="shared" si="285"/>
        <v>0.17088583033658447</v>
      </c>
      <c r="AV327" s="279">
        <f t="shared" si="286"/>
        <v>-8.2871856166589694E-2</v>
      </c>
    </row>
    <row r="328" spans="1:48" s="280" customFormat="1" ht="15.75" x14ac:dyDescent="0.25">
      <c r="A328" s="270" t="s">
        <v>1005</v>
      </c>
      <c r="B328" s="271" t="s">
        <v>208</v>
      </c>
      <c r="C328" s="272"/>
      <c r="D328" s="273">
        <v>1</v>
      </c>
      <c r="E328" s="274">
        <v>1525.28</v>
      </c>
      <c r="F328" s="264">
        <f t="shared" si="279"/>
        <v>1525.28</v>
      </c>
      <c r="G328" s="265">
        <f t="shared" si="248"/>
        <v>-2.9999999999290594E-3</v>
      </c>
      <c r="H328" s="275">
        <f t="shared" si="240"/>
        <v>1525.277</v>
      </c>
      <c r="I328" s="267">
        <v>1209.47</v>
      </c>
      <c r="J328" s="268"/>
      <c r="K328" s="268">
        <v>315.80700000000002</v>
      </c>
      <c r="L328" s="268"/>
      <c r="M328" s="268"/>
      <c r="N328" s="268"/>
      <c r="O328" s="268"/>
      <c r="P328" s="268"/>
      <c r="Q328" s="269"/>
      <c r="R328" s="264">
        <v>1525.28</v>
      </c>
      <c r="S328" s="265">
        <f t="shared" si="280"/>
        <v>79.8900000000001</v>
      </c>
      <c r="T328" s="275">
        <f t="shared" si="281"/>
        <v>1605.17</v>
      </c>
      <c r="U328" s="267">
        <v>1209.47</v>
      </c>
      <c r="V328" s="268"/>
      <c r="W328" s="268">
        <f>1605.17-U328</f>
        <v>395.70000000000005</v>
      </c>
      <c r="X328" s="268"/>
      <c r="Y328" s="268"/>
      <c r="Z328" s="268"/>
      <c r="AA328" s="268"/>
      <c r="AB328" s="268"/>
      <c r="AC328" s="269"/>
      <c r="AD328" s="264">
        <v>539.11</v>
      </c>
      <c r="AE328" s="265">
        <f t="shared" si="235"/>
        <v>-709.06</v>
      </c>
      <c r="AF328" s="266">
        <f t="shared" si="236"/>
        <v>-169.95</v>
      </c>
      <c r="AG328" s="267"/>
      <c r="AH328" s="268"/>
      <c r="AI328" s="268"/>
      <c r="AJ328" s="268"/>
      <c r="AK328" s="268"/>
      <c r="AL328" s="268"/>
      <c r="AM328" s="268"/>
      <c r="AN328" s="268"/>
      <c r="AO328" s="269">
        <v>-169.95</v>
      </c>
      <c r="AP328" s="276">
        <v>1540</v>
      </c>
      <c r="AQ328" s="276">
        <v>1770.66</v>
      </c>
      <c r="AR328" s="277">
        <f t="shared" si="282"/>
        <v>114.97792207792207</v>
      </c>
      <c r="AS328" s="278">
        <f t="shared" si="283"/>
        <v>1</v>
      </c>
      <c r="AT328" s="279">
        <f t="shared" si="284"/>
        <v>1.0523793383103528</v>
      </c>
      <c r="AU328" s="279">
        <f t="shared" si="285"/>
        <v>0.35344985838665688</v>
      </c>
      <c r="AV328" s="279">
        <f t="shared" si="286"/>
        <v>-0.11142238426200617</v>
      </c>
    </row>
    <row r="329" spans="1:48" s="2" customFormat="1" ht="21" x14ac:dyDescent="0.35">
      <c r="A329" s="8" t="s">
        <v>280</v>
      </c>
      <c r="B329" s="12" t="s">
        <v>283</v>
      </c>
      <c r="C329" s="21"/>
      <c r="D329" s="22"/>
      <c r="E329" s="15"/>
      <c r="F329" s="84">
        <f>F330+F335+F340+F347+F352+F360</f>
        <v>146516</v>
      </c>
      <c r="G329" s="89">
        <f t="shared" si="248"/>
        <v>0.61749999999301508</v>
      </c>
      <c r="H329" s="16">
        <f t="shared" si="240"/>
        <v>146516.61749999999</v>
      </c>
      <c r="I329" s="51">
        <f t="shared" ref="I329:Q329" si="287">I330+I335+I340+I347+I352+I360</f>
        <v>5750</v>
      </c>
      <c r="J329" s="51">
        <f t="shared" si="287"/>
        <v>30140</v>
      </c>
      <c r="K329" s="51">
        <f t="shared" si="287"/>
        <v>73581.042499999996</v>
      </c>
      <c r="L329" s="51">
        <f t="shared" si="287"/>
        <v>37045.574999999997</v>
      </c>
      <c r="M329" s="51">
        <f t="shared" si="287"/>
        <v>0</v>
      </c>
      <c r="N329" s="51">
        <f t="shared" si="287"/>
        <v>0</v>
      </c>
      <c r="O329" s="51">
        <f t="shared" si="287"/>
        <v>0</v>
      </c>
      <c r="P329" s="51">
        <f t="shared" si="287"/>
        <v>0</v>
      </c>
      <c r="Q329" s="59">
        <f t="shared" si="287"/>
        <v>0</v>
      </c>
      <c r="R329" s="84">
        <f>R330+R335+R340+R347+R352+R360</f>
        <v>146516</v>
      </c>
      <c r="S329" s="89">
        <f t="shared" si="280"/>
        <v>-9094.1075999999885</v>
      </c>
      <c r="T329" s="16">
        <f t="shared" si="281"/>
        <v>137421.89240000001</v>
      </c>
      <c r="U329" s="51">
        <f t="shared" ref="U329:AC329" si="288">U330+U335+U340+U347+U352+U360</f>
        <v>5750</v>
      </c>
      <c r="V329" s="51">
        <f t="shared" si="288"/>
        <v>30140</v>
      </c>
      <c r="W329" s="218">
        <f t="shared" si="288"/>
        <v>64486.3174</v>
      </c>
      <c r="X329" s="51">
        <f t="shared" si="288"/>
        <v>37045.574999999997</v>
      </c>
      <c r="Y329" s="51">
        <f t="shared" si="288"/>
        <v>0</v>
      </c>
      <c r="Z329" s="51">
        <f t="shared" si="288"/>
        <v>0</v>
      </c>
      <c r="AA329" s="51">
        <f t="shared" si="288"/>
        <v>0</v>
      </c>
      <c r="AB329" s="51">
        <f t="shared" si="288"/>
        <v>0</v>
      </c>
      <c r="AC329" s="59">
        <f t="shared" si="288"/>
        <v>0</v>
      </c>
      <c r="AD329" s="255">
        <f>AD330+AD335+AD340+AD347+AD352+AD360</f>
        <v>4797.08</v>
      </c>
      <c r="AE329" s="256">
        <f t="shared" si="235"/>
        <v>-1241.08</v>
      </c>
      <c r="AF329" s="257">
        <f t="shared" si="236"/>
        <v>3556</v>
      </c>
      <c r="AG329" s="260">
        <f>AG330+AG335+AG340+AG347+AG352+AG360</f>
        <v>0</v>
      </c>
      <c r="AH329" s="262">
        <v>3556</v>
      </c>
      <c r="AI329" s="260">
        <f t="shared" ref="AI329:AO329" si="289">AI330+AI335+AI340+AI347+AI352+AI360</f>
        <v>0</v>
      </c>
      <c r="AJ329" s="260">
        <f t="shared" si="289"/>
        <v>0</v>
      </c>
      <c r="AK329" s="260">
        <f t="shared" si="289"/>
        <v>0</v>
      </c>
      <c r="AL329" s="260">
        <f t="shared" si="289"/>
        <v>0</v>
      </c>
      <c r="AM329" s="260">
        <f t="shared" si="289"/>
        <v>0</v>
      </c>
      <c r="AN329" s="260">
        <f t="shared" si="289"/>
        <v>0</v>
      </c>
      <c r="AO329" s="261">
        <f t="shared" si="289"/>
        <v>0</v>
      </c>
      <c r="AP329" s="32">
        <f>+AP330+AP335+AP340+AP347+AP352+AP360</f>
        <v>140694</v>
      </c>
      <c r="AQ329" s="32">
        <f>AQ330+AQ335+AQ340+AQ347+AQ352+AQ360</f>
        <v>142788.53</v>
      </c>
      <c r="AR329" s="126">
        <f t="shared" si="282"/>
        <v>101.48871309366426</v>
      </c>
      <c r="AS329" s="108">
        <f t="shared" si="283"/>
        <v>1</v>
      </c>
      <c r="AT329" s="249">
        <f t="shared" si="284"/>
        <v>0.93792700612952673</v>
      </c>
      <c r="AU329" s="249">
        <f t="shared" si="285"/>
        <v>3.2740997570231238E-2</v>
      </c>
      <c r="AV329" s="249">
        <f t="shared" si="286"/>
        <v>2.4270284563455747E-2</v>
      </c>
    </row>
    <row r="330" spans="1:48" s="280" customFormat="1" ht="15.75" x14ac:dyDescent="0.25">
      <c r="A330" s="270" t="s">
        <v>289</v>
      </c>
      <c r="B330" s="271" t="s">
        <v>265</v>
      </c>
      <c r="C330" s="272"/>
      <c r="D330" s="273"/>
      <c r="E330" s="274"/>
      <c r="F330" s="264">
        <f>SUM(F331:F334)</f>
        <v>1000</v>
      </c>
      <c r="G330" s="265">
        <f t="shared" si="248"/>
        <v>0</v>
      </c>
      <c r="H330" s="275">
        <f t="shared" si="240"/>
        <v>1000</v>
      </c>
      <c r="I330" s="267">
        <f t="shared" ref="I330:Q330" si="290">SUM(I331:I334)</f>
        <v>1000</v>
      </c>
      <c r="J330" s="268">
        <f t="shared" si="290"/>
        <v>0</v>
      </c>
      <c r="K330" s="268">
        <f t="shared" si="290"/>
        <v>0</v>
      </c>
      <c r="L330" s="268">
        <f t="shared" si="290"/>
        <v>0</v>
      </c>
      <c r="M330" s="268">
        <f t="shared" si="290"/>
        <v>0</v>
      </c>
      <c r="N330" s="268">
        <f t="shared" si="290"/>
        <v>0</v>
      </c>
      <c r="O330" s="268">
        <f t="shared" si="290"/>
        <v>0</v>
      </c>
      <c r="P330" s="268">
        <f t="shared" si="290"/>
        <v>0</v>
      </c>
      <c r="Q330" s="269">
        <f t="shared" si="290"/>
        <v>0</v>
      </c>
      <c r="R330" s="264">
        <f>SUM(R331:R334)</f>
        <v>1000</v>
      </c>
      <c r="S330" s="265">
        <f t="shared" si="280"/>
        <v>0</v>
      </c>
      <c r="T330" s="275">
        <f t="shared" si="281"/>
        <v>1000</v>
      </c>
      <c r="U330" s="267">
        <f t="shared" ref="U330:AC330" si="291">SUM(U331:U334)</f>
        <v>1000</v>
      </c>
      <c r="V330" s="268">
        <f t="shared" si="291"/>
        <v>0</v>
      </c>
      <c r="W330" s="268">
        <f t="shared" si="291"/>
        <v>0</v>
      </c>
      <c r="X330" s="268">
        <f t="shared" si="291"/>
        <v>0</v>
      </c>
      <c r="Y330" s="268">
        <f t="shared" si="291"/>
        <v>0</v>
      </c>
      <c r="Z330" s="268">
        <f t="shared" si="291"/>
        <v>0</v>
      </c>
      <c r="AA330" s="268">
        <f t="shared" si="291"/>
        <v>0</v>
      </c>
      <c r="AB330" s="268">
        <f t="shared" si="291"/>
        <v>0</v>
      </c>
      <c r="AC330" s="269">
        <f t="shared" si="291"/>
        <v>0</v>
      </c>
      <c r="AD330" s="264">
        <f>SUM(AD331:AD334)</f>
        <v>456.11</v>
      </c>
      <c r="AE330" s="265">
        <f t="shared" ref="AE330:AE394" si="292">AF330-AD330</f>
        <v>-456.11</v>
      </c>
      <c r="AF330" s="266">
        <f t="shared" ref="AF330:AF394" si="293">+AG330+AH330+AI330+AJ330+AK330+AL330+AM330+AN330+AO330</f>
        <v>0</v>
      </c>
      <c r="AG330" s="267">
        <f t="shared" ref="AG330:AO330" si="294">SUM(AG331:AG334)</f>
        <v>0</v>
      </c>
      <c r="AH330" s="268">
        <f t="shared" si="294"/>
        <v>0</v>
      </c>
      <c r="AI330" s="268">
        <f t="shared" si="294"/>
        <v>0</v>
      </c>
      <c r="AJ330" s="268">
        <f t="shared" si="294"/>
        <v>0</v>
      </c>
      <c r="AK330" s="268">
        <f t="shared" si="294"/>
        <v>0</v>
      </c>
      <c r="AL330" s="268">
        <f t="shared" si="294"/>
        <v>0</v>
      </c>
      <c r="AM330" s="268">
        <f t="shared" si="294"/>
        <v>0</v>
      </c>
      <c r="AN330" s="268">
        <f t="shared" si="294"/>
        <v>0</v>
      </c>
      <c r="AO330" s="269">
        <f t="shared" si="294"/>
        <v>0</v>
      </c>
      <c r="AP330" s="276">
        <v>5700</v>
      </c>
      <c r="AQ330" s="276">
        <v>2685.47</v>
      </c>
      <c r="AR330" s="277">
        <f t="shared" si="282"/>
        <v>47.113508771929823</v>
      </c>
      <c r="AS330" s="278">
        <f t="shared" si="283"/>
        <v>1</v>
      </c>
      <c r="AT330" s="279">
        <f t="shared" si="284"/>
        <v>1</v>
      </c>
      <c r="AU330" s="279">
        <f t="shared" si="285"/>
        <v>0.45611000000000002</v>
      </c>
      <c r="AV330" s="279">
        <f t="shared" si="286"/>
        <v>0</v>
      </c>
    </row>
    <row r="331" spans="1:48" outlineLevel="1" x14ac:dyDescent="0.25">
      <c r="A331" s="5" t="s">
        <v>290</v>
      </c>
      <c r="B331" s="75" t="s">
        <v>284</v>
      </c>
      <c r="C331" s="25"/>
      <c r="D331" s="92">
        <v>1</v>
      </c>
      <c r="E331" s="110">
        <v>200</v>
      </c>
      <c r="F331" s="93">
        <f>D331*E331</f>
        <v>200</v>
      </c>
      <c r="G331" s="74">
        <f t="shared" si="248"/>
        <v>0</v>
      </c>
      <c r="H331" s="95">
        <f t="shared" si="240"/>
        <v>200</v>
      </c>
      <c r="I331" s="112">
        <v>200</v>
      </c>
      <c r="J331" s="57"/>
      <c r="K331" s="57"/>
      <c r="L331" s="57"/>
      <c r="M331" s="57"/>
      <c r="N331" s="57"/>
      <c r="O331" s="57"/>
      <c r="P331" s="68"/>
      <c r="Q331" s="58"/>
      <c r="R331" s="93">
        <v>200</v>
      </c>
      <c r="S331" s="74">
        <f t="shared" si="280"/>
        <v>0</v>
      </c>
      <c r="T331" s="95">
        <f t="shared" si="281"/>
        <v>200</v>
      </c>
      <c r="U331" s="112">
        <v>200</v>
      </c>
      <c r="V331" s="57"/>
      <c r="W331" s="57"/>
      <c r="X331" s="57"/>
      <c r="Y331" s="57"/>
      <c r="Z331" s="57"/>
      <c r="AA331" s="57"/>
      <c r="AB331" s="68"/>
      <c r="AC331" s="58"/>
      <c r="AD331" s="170">
        <f>P331*Q331</f>
        <v>0</v>
      </c>
      <c r="AE331" s="89">
        <f t="shared" si="292"/>
        <v>0</v>
      </c>
      <c r="AF331" s="216">
        <f t="shared" si="293"/>
        <v>0</v>
      </c>
      <c r="AG331" s="147"/>
      <c r="AH331" s="148"/>
      <c r="AI331" s="148"/>
      <c r="AJ331" s="148"/>
      <c r="AK331" s="148"/>
      <c r="AL331" s="148"/>
      <c r="AM331" s="148"/>
      <c r="AN331" s="149"/>
      <c r="AO331" s="150"/>
      <c r="AP331" s="76"/>
      <c r="AQ331" s="76"/>
      <c r="AR331" s="128"/>
      <c r="AS331" s="108">
        <f t="shared" si="283"/>
        <v>1</v>
      </c>
      <c r="AT331" s="249">
        <f t="shared" si="284"/>
        <v>1</v>
      </c>
      <c r="AU331" s="249">
        <f t="shared" si="285"/>
        <v>0</v>
      </c>
      <c r="AV331" s="249">
        <f t="shared" si="286"/>
        <v>0</v>
      </c>
    </row>
    <row r="332" spans="1:48" outlineLevel="1" x14ac:dyDescent="0.25">
      <c r="A332" s="4" t="s">
        <v>291</v>
      </c>
      <c r="B332" s="75" t="s">
        <v>310</v>
      </c>
      <c r="C332" s="25"/>
      <c r="D332" s="92">
        <v>4</v>
      </c>
      <c r="E332" s="110">
        <v>100</v>
      </c>
      <c r="F332" s="93">
        <f>D332*E332</f>
        <v>400</v>
      </c>
      <c r="G332" s="74">
        <f t="shared" si="248"/>
        <v>0</v>
      </c>
      <c r="H332" s="95">
        <f t="shared" si="240"/>
        <v>400</v>
      </c>
      <c r="I332" s="112">
        <v>400</v>
      </c>
      <c r="J332" s="57"/>
      <c r="K332" s="57"/>
      <c r="L332" s="57"/>
      <c r="M332" s="57"/>
      <c r="N332" s="57"/>
      <c r="O332" s="57"/>
      <c r="P332" s="68"/>
      <c r="Q332" s="58"/>
      <c r="R332" s="93">
        <v>400</v>
      </c>
      <c r="S332" s="74">
        <f t="shared" si="280"/>
        <v>0</v>
      </c>
      <c r="T332" s="95">
        <f t="shared" si="281"/>
        <v>400</v>
      </c>
      <c r="U332" s="112">
        <v>400</v>
      </c>
      <c r="V332" s="57"/>
      <c r="W332" s="57"/>
      <c r="X332" s="57"/>
      <c r="Y332" s="57"/>
      <c r="Z332" s="57"/>
      <c r="AA332" s="57"/>
      <c r="AB332" s="68"/>
      <c r="AC332" s="58"/>
      <c r="AD332" s="170">
        <v>183.96</v>
      </c>
      <c r="AE332" s="89">
        <f t="shared" si="292"/>
        <v>-183.96</v>
      </c>
      <c r="AF332" s="216">
        <f t="shared" si="293"/>
        <v>0</v>
      </c>
      <c r="AG332" s="147"/>
      <c r="AH332" s="148"/>
      <c r="AI332" s="148"/>
      <c r="AJ332" s="148"/>
      <c r="AK332" s="148"/>
      <c r="AL332" s="148"/>
      <c r="AM332" s="148"/>
      <c r="AN332" s="149"/>
      <c r="AO332" s="150"/>
      <c r="AP332" s="76"/>
      <c r="AQ332" s="76"/>
      <c r="AR332" s="128"/>
      <c r="AS332" s="108">
        <f t="shared" si="283"/>
        <v>1</v>
      </c>
      <c r="AT332" s="249">
        <f t="shared" si="284"/>
        <v>1</v>
      </c>
      <c r="AU332" s="249">
        <f t="shared" si="285"/>
        <v>0.45990000000000003</v>
      </c>
      <c r="AV332" s="249">
        <f t="shared" si="286"/>
        <v>0</v>
      </c>
    </row>
    <row r="333" spans="1:48" outlineLevel="1" x14ac:dyDescent="0.25">
      <c r="A333" s="4" t="s">
        <v>292</v>
      </c>
      <c r="B333" s="75" t="s">
        <v>285</v>
      </c>
      <c r="C333" s="25"/>
      <c r="D333" s="92">
        <v>8</v>
      </c>
      <c r="E333" s="110">
        <v>50</v>
      </c>
      <c r="F333" s="93">
        <f>D333*E333</f>
        <v>400</v>
      </c>
      <c r="G333" s="74">
        <f t="shared" si="248"/>
        <v>0</v>
      </c>
      <c r="H333" s="95">
        <f t="shared" si="240"/>
        <v>400</v>
      </c>
      <c r="I333" s="112">
        <v>400</v>
      </c>
      <c r="J333" s="57"/>
      <c r="K333" s="57"/>
      <c r="L333" s="57"/>
      <c r="M333" s="57"/>
      <c r="N333" s="57"/>
      <c r="O333" s="57"/>
      <c r="P333" s="68"/>
      <c r="Q333" s="58"/>
      <c r="R333" s="93">
        <v>400</v>
      </c>
      <c r="S333" s="74">
        <f t="shared" si="280"/>
        <v>0</v>
      </c>
      <c r="T333" s="95">
        <f t="shared" si="281"/>
        <v>400</v>
      </c>
      <c r="U333" s="112">
        <v>400</v>
      </c>
      <c r="V333" s="57"/>
      <c r="W333" s="57"/>
      <c r="X333" s="57"/>
      <c r="Y333" s="57"/>
      <c r="Z333" s="57"/>
      <c r="AA333" s="57"/>
      <c r="AB333" s="68"/>
      <c r="AC333" s="58"/>
      <c r="AD333" s="170">
        <f>P333*Q333</f>
        <v>0</v>
      </c>
      <c r="AE333" s="89">
        <f t="shared" si="292"/>
        <v>0</v>
      </c>
      <c r="AF333" s="216">
        <f t="shared" si="293"/>
        <v>0</v>
      </c>
      <c r="AG333" s="147"/>
      <c r="AH333" s="148"/>
      <c r="AI333" s="148"/>
      <c r="AJ333" s="148"/>
      <c r="AK333" s="148"/>
      <c r="AL333" s="148"/>
      <c r="AM333" s="148"/>
      <c r="AN333" s="149"/>
      <c r="AO333" s="150"/>
      <c r="AP333" s="76"/>
      <c r="AQ333" s="76"/>
      <c r="AR333" s="128"/>
      <c r="AS333" s="108">
        <f t="shared" si="283"/>
        <v>1</v>
      </c>
      <c r="AT333" s="249">
        <f t="shared" si="284"/>
        <v>1</v>
      </c>
      <c r="AU333" s="249">
        <f t="shared" si="285"/>
        <v>0</v>
      </c>
      <c r="AV333" s="249">
        <f t="shared" si="286"/>
        <v>0</v>
      </c>
    </row>
    <row r="334" spans="1:48" outlineLevel="1" x14ac:dyDescent="0.25">
      <c r="A334" s="4" t="s">
        <v>1104</v>
      </c>
      <c r="B334" s="75" t="s">
        <v>47</v>
      </c>
      <c r="C334" s="25"/>
      <c r="D334" s="92">
        <v>0</v>
      </c>
      <c r="E334" s="110">
        <v>0</v>
      </c>
      <c r="F334" s="93">
        <f>D334*E334</f>
        <v>0</v>
      </c>
      <c r="G334" s="74">
        <f t="shared" si="248"/>
        <v>0</v>
      </c>
      <c r="H334" s="95">
        <f t="shared" si="240"/>
        <v>0</v>
      </c>
      <c r="I334" s="112"/>
      <c r="J334" s="57"/>
      <c r="K334" s="57"/>
      <c r="L334" s="57"/>
      <c r="M334" s="57"/>
      <c r="N334" s="57"/>
      <c r="O334" s="57"/>
      <c r="P334" s="68"/>
      <c r="Q334" s="58"/>
      <c r="R334" s="93">
        <v>0</v>
      </c>
      <c r="S334" s="74">
        <f t="shared" si="280"/>
        <v>0</v>
      </c>
      <c r="T334" s="95">
        <f t="shared" si="281"/>
        <v>0</v>
      </c>
      <c r="U334" s="112"/>
      <c r="V334" s="57"/>
      <c r="W334" s="57"/>
      <c r="X334" s="57"/>
      <c r="Y334" s="57"/>
      <c r="Z334" s="57"/>
      <c r="AA334" s="57"/>
      <c r="AB334" s="68"/>
      <c r="AC334" s="58"/>
      <c r="AD334" s="170">
        <v>272.14999999999998</v>
      </c>
      <c r="AE334" s="89">
        <f t="shared" si="292"/>
        <v>-272.14999999999998</v>
      </c>
      <c r="AF334" s="216">
        <f t="shared" si="293"/>
        <v>0</v>
      </c>
      <c r="AG334" s="147"/>
      <c r="AH334" s="148"/>
      <c r="AI334" s="148"/>
      <c r="AJ334" s="148"/>
      <c r="AK334" s="148"/>
      <c r="AL334" s="148"/>
      <c r="AM334" s="148"/>
      <c r="AN334" s="149"/>
      <c r="AO334" s="150"/>
      <c r="AP334" s="76"/>
      <c r="AQ334" s="76"/>
      <c r="AR334" s="128"/>
      <c r="AS334" s="108"/>
      <c r="AT334" s="249"/>
      <c r="AU334" s="249"/>
      <c r="AV334" s="249"/>
    </row>
    <row r="335" spans="1:48" s="280" customFormat="1" ht="15.75" x14ac:dyDescent="0.25">
      <c r="A335" s="270" t="s">
        <v>294</v>
      </c>
      <c r="B335" s="271" t="s">
        <v>248</v>
      </c>
      <c r="C335" s="272"/>
      <c r="D335" s="273"/>
      <c r="E335" s="274"/>
      <c r="F335" s="264">
        <f>SUM(F336:F339)</f>
        <v>10158</v>
      </c>
      <c r="G335" s="265">
        <f t="shared" si="248"/>
        <v>0</v>
      </c>
      <c r="H335" s="275">
        <f t="shared" si="240"/>
        <v>10158</v>
      </c>
      <c r="I335" s="267">
        <f t="shared" ref="I335:Q335" si="295">SUM(I336:I339)</f>
        <v>0</v>
      </c>
      <c r="J335" s="268">
        <f t="shared" si="295"/>
        <v>10158</v>
      </c>
      <c r="K335" s="268">
        <f t="shared" si="295"/>
        <v>0</v>
      </c>
      <c r="L335" s="268">
        <f t="shared" si="295"/>
        <v>0</v>
      </c>
      <c r="M335" s="268">
        <f t="shared" si="295"/>
        <v>0</v>
      </c>
      <c r="N335" s="268">
        <f t="shared" si="295"/>
        <v>0</v>
      </c>
      <c r="O335" s="268">
        <f t="shared" si="295"/>
        <v>0</v>
      </c>
      <c r="P335" s="268">
        <f t="shared" si="295"/>
        <v>0</v>
      </c>
      <c r="Q335" s="269">
        <f t="shared" si="295"/>
        <v>0</v>
      </c>
      <c r="R335" s="264">
        <f>SUM(R336:R339)</f>
        <v>10158</v>
      </c>
      <c r="S335" s="265">
        <f t="shared" si="280"/>
        <v>0</v>
      </c>
      <c r="T335" s="275">
        <f t="shared" si="281"/>
        <v>10158</v>
      </c>
      <c r="U335" s="267">
        <f t="shared" ref="U335:AC335" si="296">SUM(U336:U339)</f>
        <v>0</v>
      </c>
      <c r="V335" s="268">
        <f t="shared" si="296"/>
        <v>10158</v>
      </c>
      <c r="W335" s="268">
        <f t="shared" si="296"/>
        <v>0</v>
      </c>
      <c r="X335" s="268">
        <f t="shared" si="296"/>
        <v>0</v>
      </c>
      <c r="Y335" s="268">
        <f t="shared" si="296"/>
        <v>0</v>
      </c>
      <c r="Z335" s="268">
        <f t="shared" si="296"/>
        <v>0</v>
      </c>
      <c r="AA335" s="268">
        <f t="shared" si="296"/>
        <v>0</v>
      </c>
      <c r="AB335" s="268">
        <f t="shared" si="296"/>
        <v>0</v>
      </c>
      <c r="AC335" s="269">
        <f t="shared" si="296"/>
        <v>0</v>
      </c>
      <c r="AD335" s="264">
        <f>SUM(AD336:AD339)</f>
        <v>763.07999999999993</v>
      </c>
      <c r="AE335" s="265">
        <f t="shared" si="292"/>
        <v>-763.07999999999993</v>
      </c>
      <c r="AF335" s="266">
        <f t="shared" si="293"/>
        <v>0</v>
      </c>
      <c r="AG335" s="267">
        <f t="shared" ref="AG335:AO335" si="297">SUM(AG336:AG339)</f>
        <v>0</v>
      </c>
      <c r="AH335" s="268">
        <f t="shared" si="297"/>
        <v>0</v>
      </c>
      <c r="AI335" s="268">
        <f t="shared" si="297"/>
        <v>0</v>
      </c>
      <c r="AJ335" s="268">
        <f t="shared" si="297"/>
        <v>0</v>
      </c>
      <c r="AK335" s="268">
        <f t="shared" si="297"/>
        <v>0</v>
      </c>
      <c r="AL335" s="268">
        <f t="shared" si="297"/>
        <v>0</v>
      </c>
      <c r="AM335" s="268">
        <f t="shared" si="297"/>
        <v>0</v>
      </c>
      <c r="AN335" s="268">
        <f t="shared" si="297"/>
        <v>0</v>
      </c>
      <c r="AO335" s="269">
        <f t="shared" si="297"/>
        <v>0</v>
      </c>
      <c r="AP335" s="276">
        <v>16000</v>
      </c>
      <c r="AQ335" s="276">
        <f>7493.54+2706.45+8517.9+683.65+533.03</f>
        <v>19934.57</v>
      </c>
      <c r="AR335" s="277">
        <f>AQ335*100/AP335</f>
        <v>124.59106250000001</v>
      </c>
      <c r="AS335" s="278">
        <f t="shared" si="283"/>
        <v>1</v>
      </c>
      <c r="AT335" s="279">
        <f t="shared" si="284"/>
        <v>1</v>
      </c>
      <c r="AU335" s="279">
        <f t="shared" si="285"/>
        <v>7.512108682811576E-2</v>
      </c>
      <c r="AV335" s="279">
        <f t="shared" si="286"/>
        <v>0</v>
      </c>
    </row>
    <row r="336" spans="1:48" outlineLevel="1" x14ac:dyDescent="0.25">
      <c r="A336" s="4" t="s">
        <v>295</v>
      </c>
      <c r="B336" s="75" t="s">
        <v>267</v>
      </c>
      <c r="C336" s="25"/>
      <c r="D336" s="92">
        <v>1</v>
      </c>
      <c r="E336" s="110">
        <v>5000</v>
      </c>
      <c r="F336" s="93">
        <f>D336*E336</f>
        <v>5000</v>
      </c>
      <c r="G336" s="74">
        <f t="shared" si="248"/>
        <v>0</v>
      </c>
      <c r="H336" s="95">
        <f t="shared" si="240"/>
        <v>5000</v>
      </c>
      <c r="I336" s="112"/>
      <c r="J336" s="57">
        <v>5000</v>
      </c>
      <c r="K336" s="57"/>
      <c r="L336" s="57"/>
      <c r="M336" s="57"/>
      <c r="N336" s="57"/>
      <c r="O336" s="57"/>
      <c r="P336" s="68"/>
      <c r="Q336" s="58"/>
      <c r="R336" s="93">
        <v>5000</v>
      </c>
      <c r="S336" s="74">
        <f t="shared" si="280"/>
        <v>0</v>
      </c>
      <c r="T336" s="95">
        <f t="shared" si="281"/>
        <v>5000</v>
      </c>
      <c r="U336" s="112"/>
      <c r="V336" s="57">
        <v>5000</v>
      </c>
      <c r="W336" s="57"/>
      <c r="X336" s="57"/>
      <c r="Y336" s="57"/>
      <c r="Z336" s="57"/>
      <c r="AA336" s="57"/>
      <c r="AB336" s="68"/>
      <c r="AC336" s="58"/>
      <c r="AD336" s="170">
        <v>239.68</v>
      </c>
      <c r="AE336" s="89">
        <f t="shared" si="292"/>
        <v>-239.68</v>
      </c>
      <c r="AF336" s="216">
        <f t="shared" si="293"/>
        <v>0</v>
      </c>
      <c r="AG336" s="147"/>
      <c r="AH336" s="148"/>
      <c r="AI336" s="148"/>
      <c r="AJ336" s="148"/>
      <c r="AK336" s="148"/>
      <c r="AL336" s="148"/>
      <c r="AM336" s="148"/>
      <c r="AN336" s="149"/>
      <c r="AO336" s="150"/>
      <c r="AP336" s="76"/>
      <c r="AQ336" s="76"/>
      <c r="AR336" s="128"/>
      <c r="AS336" s="108">
        <f t="shared" si="283"/>
        <v>1</v>
      </c>
      <c r="AT336" s="249">
        <f t="shared" si="284"/>
        <v>1</v>
      </c>
      <c r="AU336" s="249">
        <f t="shared" si="285"/>
        <v>4.7935999999999999E-2</v>
      </c>
      <c r="AV336" s="249">
        <f t="shared" si="286"/>
        <v>0</v>
      </c>
    </row>
    <row r="337" spans="1:48" outlineLevel="1" x14ac:dyDescent="0.25">
      <c r="A337" s="4" t="s">
        <v>296</v>
      </c>
      <c r="B337" s="75" t="s">
        <v>251</v>
      </c>
      <c r="C337" s="25"/>
      <c r="D337" s="92">
        <v>1</v>
      </c>
      <c r="E337" s="110">
        <v>4000</v>
      </c>
      <c r="F337" s="93">
        <f>D337*E337</f>
        <v>4000</v>
      </c>
      <c r="G337" s="74">
        <f t="shared" si="248"/>
        <v>0</v>
      </c>
      <c r="H337" s="95">
        <f t="shared" si="240"/>
        <v>4000</v>
      </c>
      <c r="I337" s="112"/>
      <c r="J337" s="57">
        <v>4000</v>
      </c>
      <c r="K337" s="57"/>
      <c r="L337" s="57"/>
      <c r="M337" s="57"/>
      <c r="N337" s="57"/>
      <c r="O337" s="57"/>
      <c r="P337" s="68"/>
      <c r="Q337" s="58"/>
      <c r="R337" s="93">
        <v>4000</v>
      </c>
      <c r="S337" s="74">
        <f t="shared" si="280"/>
        <v>0</v>
      </c>
      <c r="T337" s="95">
        <f t="shared" si="281"/>
        <v>4000</v>
      </c>
      <c r="U337" s="112"/>
      <c r="V337" s="57">
        <v>4000</v>
      </c>
      <c r="W337" s="57"/>
      <c r="X337" s="57"/>
      <c r="Y337" s="57"/>
      <c r="Z337" s="57"/>
      <c r="AA337" s="57"/>
      <c r="AB337" s="68"/>
      <c r="AC337" s="58"/>
      <c r="AD337" s="170">
        <v>523.4</v>
      </c>
      <c r="AE337" s="89">
        <f t="shared" si="292"/>
        <v>-523.4</v>
      </c>
      <c r="AF337" s="216">
        <f t="shared" si="293"/>
        <v>0</v>
      </c>
      <c r="AG337" s="147"/>
      <c r="AH337" s="148"/>
      <c r="AI337" s="148"/>
      <c r="AJ337" s="148"/>
      <c r="AK337" s="148"/>
      <c r="AL337" s="148"/>
      <c r="AM337" s="148"/>
      <c r="AN337" s="149"/>
      <c r="AO337" s="150"/>
      <c r="AP337" s="76"/>
      <c r="AQ337" s="76"/>
      <c r="AR337" s="128"/>
      <c r="AS337" s="108">
        <f t="shared" si="283"/>
        <v>1</v>
      </c>
      <c r="AT337" s="249">
        <f t="shared" si="284"/>
        <v>1</v>
      </c>
      <c r="AU337" s="249">
        <f t="shared" si="285"/>
        <v>0.13084999999999999</v>
      </c>
      <c r="AV337" s="249">
        <f t="shared" si="286"/>
        <v>0</v>
      </c>
    </row>
    <row r="338" spans="1:48" outlineLevel="1" x14ac:dyDescent="0.25">
      <c r="A338" s="4" t="s">
        <v>297</v>
      </c>
      <c r="B338" s="75" t="s">
        <v>856</v>
      </c>
      <c r="C338" s="25"/>
      <c r="D338" s="92">
        <v>1</v>
      </c>
      <c r="E338" s="110">
        <v>1000</v>
      </c>
      <c r="F338" s="93">
        <f>D338*E338</f>
        <v>1000</v>
      </c>
      <c r="G338" s="74">
        <f>H338-F338</f>
        <v>0</v>
      </c>
      <c r="H338" s="95">
        <f t="shared" si="240"/>
        <v>1000</v>
      </c>
      <c r="I338" s="112"/>
      <c r="J338" s="57">
        <v>1000</v>
      </c>
      <c r="K338" s="57"/>
      <c r="L338" s="57"/>
      <c r="M338" s="57"/>
      <c r="N338" s="57"/>
      <c r="O338" s="57"/>
      <c r="P338" s="68"/>
      <c r="Q338" s="58"/>
      <c r="R338" s="93">
        <v>1000</v>
      </c>
      <c r="S338" s="74">
        <f>T338-R338</f>
        <v>0</v>
      </c>
      <c r="T338" s="95">
        <f t="shared" si="281"/>
        <v>1000</v>
      </c>
      <c r="U338" s="112"/>
      <c r="V338" s="57">
        <v>1000</v>
      </c>
      <c r="W338" s="57"/>
      <c r="X338" s="57"/>
      <c r="Y338" s="57"/>
      <c r="Z338" s="57"/>
      <c r="AA338" s="57"/>
      <c r="AB338" s="68"/>
      <c r="AC338" s="58"/>
      <c r="AD338" s="170">
        <f>P338*Q338</f>
        <v>0</v>
      </c>
      <c r="AE338" s="89">
        <f t="shared" si="292"/>
        <v>0</v>
      </c>
      <c r="AF338" s="216">
        <f t="shared" si="293"/>
        <v>0</v>
      </c>
      <c r="AG338" s="147"/>
      <c r="AH338" s="148"/>
      <c r="AI338" s="148"/>
      <c r="AJ338" s="148"/>
      <c r="AK338" s="148"/>
      <c r="AL338" s="148"/>
      <c r="AM338" s="148"/>
      <c r="AN338" s="149"/>
      <c r="AO338" s="150"/>
      <c r="AP338" s="76"/>
      <c r="AQ338" s="76"/>
      <c r="AR338" s="128"/>
      <c r="AS338" s="108">
        <f t="shared" si="283"/>
        <v>1</v>
      </c>
      <c r="AT338" s="249">
        <f t="shared" si="284"/>
        <v>1</v>
      </c>
      <c r="AU338" s="249">
        <f t="shared" si="285"/>
        <v>0</v>
      </c>
      <c r="AV338" s="249">
        <f t="shared" si="286"/>
        <v>0</v>
      </c>
    </row>
    <row r="339" spans="1:48" outlineLevel="1" x14ac:dyDescent="0.25">
      <c r="A339" s="4" t="s">
        <v>1105</v>
      </c>
      <c r="B339" s="75" t="s">
        <v>47</v>
      </c>
      <c r="C339" s="25"/>
      <c r="D339" s="92">
        <v>1</v>
      </c>
      <c r="E339" s="110">
        <v>158</v>
      </c>
      <c r="F339" s="93">
        <f>D339*E339</f>
        <v>158</v>
      </c>
      <c r="G339" s="74">
        <f t="shared" si="248"/>
        <v>0</v>
      </c>
      <c r="H339" s="95">
        <f t="shared" ref="H339:H403" si="298">SUM(I339:Q339)</f>
        <v>158</v>
      </c>
      <c r="I339" s="112"/>
      <c r="J339" s="57">
        <f>1000-842</f>
        <v>158</v>
      </c>
      <c r="K339" s="57"/>
      <c r="L339" s="57"/>
      <c r="M339" s="57"/>
      <c r="N339" s="57"/>
      <c r="O339" s="57"/>
      <c r="P339" s="68"/>
      <c r="Q339" s="58"/>
      <c r="R339" s="93">
        <v>158</v>
      </c>
      <c r="S339" s="74">
        <f t="shared" ref="S339:S391" si="299">T339-R339</f>
        <v>0</v>
      </c>
      <c r="T339" s="95">
        <f t="shared" si="281"/>
        <v>158</v>
      </c>
      <c r="U339" s="112"/>
      <c r="V339" s="57">
        <f>1000-842</f>
        <v>158</v>
      </c>
      <c r="W339" s="57"/>
      <c r="X339" s="57"/>
      <c r="Y339" s="57"/>
      <c r="Z339" s="57"/>
      <c r="AA339" s="57"/>
      <c r="AB339" s="68"/>
      <c r="AC339" s="58"/>
      <c r="AD339" s="170">
        <f>P339*Q339</f>
        <v>0</v>
      </c>
      <c r="AE339" s="89">
        <f t="shared" si="292"/>
        <v>0</v>
      </c>
      <c r="AF339" s="216">
        <f t="shared" si="293"/>
        <v>0</v>
      </c>
      <c r="AG339" s="147"/>
      <c r="AH339" s="148"/>
      <c r="AI339" s="148"/>
      <c r="AJ339" s="148"/>
      <c r="AK339" s="148"/>
      <c r="AL339" s="148"/>
      <c r="AM339" s="148"/>
      <c r="AN339" s="149"/>
      <c r="AO339" s="150"/>
      <c r="AP339" s="76"/>
      <c r="AQ339" s="76"/>
      <c r="AR339" s="128"/>
      <c r="AS339" s="108">
        <f t="shared" si="283"/>
        <v>1</v>
      </c>
      <c r="AT339" s="249">
        <f t="shared" si="284"/>
        <v>1</v>
      </c>
      <c r="AU339" s="249">
        <f t="shared" si="285"/>
        <v>0</v>
      </c>
      <c r="AV339" s="249">
        <f t="shared" si="286"/>
        <v>0</v>
      </c>
    </row>
    <row r="340" spans="1:48" s="280" customFormat="1" ht="15.75" x14ac:dyDescent="0.25">
      <c r="A340" s="270" t="s">
        <v>298</v>
      </c>
      <c r="B340" s="271" t="s">
        <v>247</v>
      </c>
      <c r="C340" s="272"/>
      <c r="D340" s="273"/>
      <c r="E340" s="274"/>
      <c r="F340" s="264">
        <f>SUM(F341:F346)</f>
        <v>37114</v>
      </c>
      <c r="G340" s="265">
        <f t="shared" si="248"/>
        <v>0.47000000000116415</v>
      </c>
      <c r="H340" s="275">
        <f t="shared" si="298"/>
        <v>37114.47</v>
      </c>
      <c r="I340" s="267">
        <f t="shared" ref="I340:Q340" si="300">SUM(I341:I346)</f>
        <v>2000</v>
      </c>
      <c r="J340" s="268">
        <f t="shared" si="300"/>
        <v>4000</v>
      </c>
      <c r="K340" s="268">
        <f t="shared" si="300"/>
        <v>27276.720000000001</v>
      </c>
      <c r="L340" s="268">
        <f t="shared" si="300"/>
        <v>3837.75</v>
      </c>
      <c r="M340" s="268">
        <f t="shared" si="300"/>
        <v>0</v>
      </c>
      <c r="N340" s="268">
        <f t="shared" si="300"/>
        <v>0</v>
      </c>
      <c r="O340" s="268">
        <f t="shared" si="300"/>
        <v>0</v>
      </c>
      <c r="P340" s="268">
        <f t="shared" si="300"/>
        <v>0</v>
      </c>
      <c r="Q340" s="269">
        <f t="shared" si="300"/>
        <v>0</v>
      </c>
      <c r="R340" s="264">
        <f>SUM(R341:R346)</f>
        <v>37114</v>
      </c>
      <c r="S340" s="265">
        <f t="shared" si="299"/>
        <v>-3272.7364000000016</v>
      </c>
      <c r="T340" s="275">
        <f t="shared" si="281"/>
        <v>33841.263599999998</v>
      </c>
      <c r="U340" s="267">
        <f t="shared" ref="U340:AC340" si="301">SUM(U341:U346)</f>
        <v>2000</v>
      </c>
      <c r="V340" s="268">
        <f t="shared" si="301"/>
        <v>4000</v>
      </c>
      <c r="W340" s="268">
        <f t="shared" si="301"/>
        <v>24003.513599999998</v>
      </c>
      <c r="X340" s="268">
        <f t="shared" si="301"/>
        <v>3837.75</v>
      </c>
      <c r="Y340" s="268">
        <f t="shared" si="301"/>
        <v>0</v>
      </c>
      <c r="Z340" s="268">
        <f t="shared" si="301"/>
        <v>0</v>
      </c>
      <c r="AA340" s="268">
        <f t="shared" si="301"/>
        <v>0</v>
      </c>
      <c r="AB340" s="268">
        <f t="shared" si="301"/>
        <v>0</v>
      </c>
      <c r="AC340" s="269">
        <f t="shared" si="301"/>
        <v>0</v>
      </c>
      <c r="AD340" s="264">
        <f>SUM(AD341:AD346)</f>
        <v>1100</v>
      </c>
      <c r="AE340" s="265">
        <f t="shared" si="292"/>
        <v>-1100</v>
      </c>
      <c r="AF340" s="266">
        <f t="shared" si="293"/>
        <v>0</v>
      </c>
      <c r="AG340" s="267">
        <f t="shared" ref="AG340:AO340" si="302">SUM(AG341:AG346)</f>
        <v>0</v>
      </c>
      <c r="AH340" s="268">
        <f t="shared" si="302"/>
        <v>0</v>
      </c>
      <c r="AI340" s="268">
        <f t="shared" si="302"/>
        <v>0</v>
      </c>
      <c r="AJ340" s="268">
        <f t="shared" si="302"/>
        <v>0</v>
      </c>
      <c r="AK340" s="268">
        <f t="shared" si="302"/>
        <v>0</v>
      </c>
      <c r="AL340" s="268">
        <f t="shared" si="302"/>
        <v>0</v>
      </c>
      <c r="AM340" s="268">
        <f t="shared" si="302"/>
        <v>0</v>
      </c>
      <c r="AN340" s="268">
        <f t="shared" si="302"/>
        <v>0</v>
      </c>
      <c r="AO340" s="269">
        <f t="shared" si="302"/>
        <v>0</v>
      </c>
      <c r="AP340" s="276">
        <f>20000+8800+6607</f>
        <v>35407</v>
      </c>
      <c r="AQ340" s="276">
        <f>23205.38+11058.14</f>
        <v>34263.520000000004</v>
      </c>
      <c r="AR340" s="277">
        <f>AQ340*100/AP340</f>
        <v>96.770469116276459</v>
      </c>
      <c r="AS340" s="278">
        <f t="shared" si="283"/>
        <v>1</v>
      </c>
      <c r="AT340" s="279">
        <f t="shared" si="284"/>
        <v>0.91180780973027498</v>
      </c>
      <c r="AU340" s="279">
        <f t="shared" si="285"/>
        <v>2.9638411381149969E-2</v>
      </c>
      <c r="AV340" s="279">
        <f t="shared" si="286"/>
        <v>0</v>
      </c>
    </row>
    <row r="341" spans="1:48" outlineLevel="1" x14ac:dyDescent="0.25">
      <c r="A341" s="4" t="s">
        <v>299</v>
      </c>
      <c r="B341" s="75" t="s">
        <v>934</v>
      </c>
      <c r="C341" s="25"/>
      <c r="D341" s="92">
        <v>5</v>
      </c>
      <c r="E341" s="110">
        <f>4900+265+7.8</f>
        <v>5172.8</v>
      </c>
      <c r="F341" s="93">
        <f t="shared" ref="F341:F346" si="303">D341*E341</f>
        <v>25864</v>
      </c>
      <c r="G341" s="74">
        <f t="shared" si="248"/>
        <v>0.47000000000116415</v>
      </c>
      <c r="H341" s="95">
        <f t="shared" si="298"/>
        <v>25864.47</v>
      </c>
      <c r="I341" s="112">
        <v>2000</v>
      </c>
      <c r="J341" s="57">
        <v>3000</v>
      </c>
      <c r="K341" s="57">
        <v>17026.72</v>
      </c>
      <c r="L341" s="57">
        <v>3837.75</v>
      </c>
      <c r="M341" s="57"/>
      <c r="N341" s="57"/>
      <c r="O341" s="57"/>
      <c r="P341" s="68"/>
      <c r="Q341" s="58"/>
      <c r="R341" s="93">
        <v>25864</v>
      </c>
      <c r="S341" s="74">
        <f t="shared" si="299"/>
        <v>-2042.7364000000016</v>
      </c>
      <c r="T341" s="95">
        <f t="shared" si="281"/>
        <v>23821.263599999998</v>
      </c>
      <c r="U341" s="112">
        <v>2000</v>
      </c>
      <c r="V341" s="57">
        <v>3000</v>
      </c>
      <c r="W341" s="57">
        <f>17026.72*0.88</f>
        <v>14983.5136</v>
      </c>
      <c r="X341" s="57">
        <v>3837.75</v>
      </c>
      <c r="Y341" s="57"/>
      <c r="Z341" s="57"/>
      <c r="AA341" s="57"/>
      <c r="AB341" s="68"/>
      <c r="AC341" s="58"/>
      <c r="AD341" s="170">
        <f>P341*Q341</f>
        <v>0</v>
      </c>
      <c r="AE341" s="89">
        <f t="shared" si="292"/>
        <v>0</v>
      </c>
      <c r="AF341" s="216">
        <f t="shared" si="293"/>
        <v>0</v>
      </c>
      <c r="AG341" s="147"/>
      <c r="AH341" s="148"/>
      <c r="AI341" s="148"/>
      <c r="AJ341" s="148"/>
      <c r="AK341" s="148"/>
      <c r="AL341" s="148"/>
      <c r="AM341" s="148"/>
      <c r="AN341" s="149"/>
      <c r="AO341" s="150"/>
      <c r="AP341" s="76"/>
      <c r="AQ341" s="76"/>
      <c r="AR341" s="128"/>
      <c r="AS341" s="108">
        <f t="shared" si="283"/>
        <v>1</v>
      </c>
      <c r="AT341" s="249">
        <f t="shared" si="284"/>
        <v>0.92100335324868432</v>
      </c>
      <c r="AU341" s="249">
        <f t="shared" si="285"/>
        <v>0</v>
      </c>
      <c r="AV341" s="249">
        <f t="shared" si="286"/>
        <v>0</v>
      </c>
    </row>
    <row r="342" spans="1:48" outlineLevel="1" x14ac:dyDescent="0.25">
      <c r="A342" s="4" t="s">
        <v>300</v>
      </c>
      <c r="B342" s="75" t="s">
        <v>935</v>
      </c>
      <c r="C342" s="25"/>
      <c r="D342" s="92">
        <v>4</v>
      </c>
      <c r="E342" s="110">
        <v>1100</v>
      </c>
      <c r="F342" s="93">
        <f t="shared" si="303"/>
        <v>4400</v>
      </c>
      <c r="G342" s="74">
        <f t="shared" si="248"/>
        <v>0</v>
      </c>
      <c r="H342" s="95">
        <f t="shared" si="298"/>
        <v>4400</v>
      </c>
      <c r="I342" s="112"/>
      <c r="J342" s="57"/>
      <c r="K342" s="57">
        <v>4400</v>
      </c>
      <c r="L342" s="57"/>
      <c r="M342" s="57"/>
      <c r="N342" s="57"/>
      <c r="O342" s="57"/>
      <c r="P342" s="68"/>
      <c r="Q342" s="58"/>
      <c r="R342" s="93">
        <v>4400</v>
      </c>
      <c r="S342" s="74">
        <f t="shared" si="299"/>
        <v>-528</v>
      </c>
      <c r="T342" s="95">
        <f t="shared" si="281"/>
        <v>3872</v>
      </c>
      <c r="U342" s="112"/>
      <c r="V342" s="57"/>
      <c r="W342" s="57">
        <f>4400*0.88</f>
        <v>3872</v>
      </c>
      <c r="X342" s="57"/>
      <c r="Y342" s="57"/>
      <c r="Z342" s="57"/>
      <c r="AA342" s="57"/>
      <c r="AB342" s="68"/>
      <c r="AC342" s="58"/>
      <c r="AD342" s="170">
        <v>1100</v>
      </c>
      <c r="AE342" s="89">
        <f t="shared" si="292"/>
        <v>-1100</v>
      </c>
      <c r="AF342" s="216">
        <f t="shared" si="293"/>
        <v>0</v>
      </c>
      <c r="AG342" s="147"/>
      <c r="AH342" s="148"/>
      <c r="AI342" s="148"/>
      <c r="AJ342" s="148"/>
      <c r="AK342" s="148"/>
      <c r="AL342" s="148"/>
      <c r="AM342" s="148"/>
      <c r="AN342" s="149"/>
      <c r="AO342" s="150"/>
      <c r="AP342" s="76"/>
      <c r="AQ342" s="76"/>
      <c r="AR342" s="128"/>
      <c r="AS342" s="108">
        <f t="shared" si="283"/>
        <v>1</v>
      </c>
      <c r="AT342" s="249">
        <f t="shared" si="284"/>
        <v>0.88</v>
      </c>
      <c r="AU342" s="249">
        <f t="shared" si="285"/>
        <v>0.25</v>
      </c>
      <c r="AV342" s="249">
        <f t="shared" si="286"/>
        <v>0</v>
      </c>
    </row>
    <row r="343" spans="1:48" outlineLevel="1" x14ac:dyDescent="0.25">
      <c r="A343" s="4" t="s">
        <v>306</v>
      </c>
      <c r="B343" s="75" t="s">
        <v>936</v>
      </c>
      <c r="C343" s="25"/>
      <c r="D343" s="92">
        <v>1</v>
      </c>
      <c r="E343" s="110">
        <f>4364-5*265-39</f>
        <v>3000</v>
      </c>
      <c r="F343" s="93">
        <f t="shared" si="303"/>
        <v>3000</v>
      </c>
      <c r="G343" s="74">
        <f t="shared" si="248"/>
        <v>0</v>
      </c>
      <c r="H343" s="95">
        <f t="shared" si="298"/>
        <v>3000</v>
      </c>
      <c r="I343" s="112"/>
      <c r="J343" s="57"/>
      <c r="K343" s="57">
        <v>3000</v>
      </c>
      <c r="L343" s="57"/>
      <c r="M343" s="57"/>
      <c r="N343" s="57"/>
      <c r="O343" s="57"/>
      <c r="P343" s="68"/>
      <c r="Q343" s="58"/>
      <c r="R343" s="93">
        <v>3000</v>
      </c>
      <c r="S343" s="74">
        <f t="shared" si="299"/>
        <v>-360</v>
      </c>
      <c r="T343" s="95">
        <f t="shared" si="281"/>
        <v>2640</v>
      </c>
      <c r="U343" s="112"/>
      <c r="V343" s="57"/>
      <c r="W343" s="57">
        <f>3000*0.88</f>
        <v>2640</v>
      </c>
      <c r="X343" s="57"/>
      <c r="Y343" s="57"/>
      <c r="Z343" s="57"/>
      <c r="AA343" s="57"/>
      <c r="AB343" s="68"/>
      <c r="AC343" s="58"/>
      <c r="AD343" s="170">
        <f>P343*Q343</f>
        <v>0</v>
      </c>
      <c r="AE343" s="89">
        <f t="shared" si="292"/>
        <v>0</v>
      </c>
      <c r="AF343" s="216">
        <f t="shared" si="293"/>
        <v>0</v>
      </c>
      <c r="AG343" s="147"/>
      <c r="AH343" s="148"/>
      <c r="AI343" s="148"/>
      <c r="AJ343" s="148"/>
      <c r="AK343" s="148"/>
      <c r="AL343" s="148"/>
      <c r="AM343" s="148"/>
      <c r="AN343" s="149"/>
      <c r="AO343" s="150"/>
      <c r="AP343" s="76"/>
      <c r="AQ343" s="76"/>
      <c r="AR343" s="128"/>
      <c r="AS343" s="108">
        <f t="shared" si="283"/>
        <v>1</v>
      </c>
      <c r="AT343" s="249">
        <f t="shared" si="284"/>
        <v>0.88</v>
      </c>
      <c r="AU343" s="249">
        <f t="shared" si="285"/>
        <v>0</v>
      </c>
      <c r="AV343" s="249">
        <f t="shared" si="286"/>
        <v>0</v>
      </c>
    </row>
    <row r="344" spans="1:48" outlineLevel="1" x14ac:dyDescent="0.25">
      <c r="A344" s="4" t="s">
        <v>966</v>
      </c>
      <c r="B344" s="75" t="s">
        <v>268</v>
      </c>
      <c r="C344" s="25"/>
      <c r="D344" s="92">
        <v>1</v>
      </c>
      <c r="E344" s="110">
        <f>1500*0.3</f>
        <v>450</v>
      </c>
      <c r="F344" s="93">
        <f t="shared" si="303"/>
        <v>450</v>
      </c>
      <c r="G344" s="74">
        <f t="shared" si="248"/>
        <v>0</v>
      </c>
      <c r="H344" s="95">
        <f t="shared" si="298"/>
        <v>450</v>
      </c>
      <c r="I344" s="112"/>
      <c r="J344" s="57"/>
      <c r="K344" s="57">
        <v>450</v>
      </c>
      <c r="L344" s="57"/>
      <c r="M344" s="57"/>
      <c r="N344" s="57"/>
      <c r="O344" s="57"/>
      <c r="P344" s="68"/>
      <c r="Q344" s="58"/>
      <c r="R344" s="93">
        <v>450</v>
      </c>
      <c r="S344" s="74">
        <f t="shared" si="299"/>
        <v>-54</v>
      </c>
      <c r="T344" s="95">
        <f t="shared" si="281"/>
        <v>396</v>
      </c>
      <c r="U344" s="112"/>
      <c r="V344" s="57"/>
      <c r="W344" s="57">
        <f>450*0.88</f>
        <v>396</v>
      </c>
      <c r="X344" s="57"/>
      <c r="Y344" s="57"/>
      <c r="Z344" s="57"/>
      <c r="AA344" s="57"/>
      <c r="AB344" s="68"/>
      <c r="AC344" s="58"/>
      <c r="AD344" s="170">
        <f>P344*Q344</f>
        <v>0</v>
      </c>
      <c r="AE344" s="89">
        <f t="shared" si="292"/>
        <v>0</v>
      </c>
      <c r="AF344" s="216">
        <f t="shared" si="293"/>
        <v>0</v>
      </c>
      <c r="AG344" s="147"/>
      <c r="AH344" s="148"/>
      <c r="AI344" s="148"/>
      <c r="AJ344" s="148"/>
      <c r="AK344" s="148"/>
      <c r="AL344" s="148"/>
      <c r="AM344" s="148"/>
      <c r="AN344" s="149"/>
      <c r="AO344" s="150"/>
      <c r="AP344" s="76"/>
      <c r="AQ344" s="76"/>
      <c r="AR344" s="128"/>
      <c r="AS344" s="108">
        <f t="shared" si="283"/>
        <v>1</v>
      </c>
      <c r="AT344" s="249">
        <f t="shared" si="284"/>
        <v>0.88</v>
      </c>
      <c r="AU344" s="249">
        <f t="shared" si="285"/>
        <v>0</v>
      </c>
      <c r="AV344" s="249">
        <f t="shared" si="286"/>
        <v>0</v>
      </c>
    </row>
    <row r="345" spans="1:48" outlineLevel="1" x14ac:dyDescent="0.25">
      <c r="A345" s="4" t="s">
        <v>967</v>
      </c>
      <c r="B345" s="75" t="s">
        <v>269</v>
      </c>
      <c r="C345" s="25"/>
      <c r="D345" s="92">
        <v>1</v>
      </c>
      <c r="E345" s="110">
        <v>2800</v>
      </c>
      <c r="F345" s="93">
        <f t="shared" si="303"/>
        <v>2800</v>
      </c>
      <c r="G345" s="74">
        <f t="shared" ref="G345:G410" si="304">H345-F345</f>
        <v>0</v>
      </c>
      <c r="H345" s="95">
        <f t="shared" si="298"/>
        <v>2800</v>
      </c>
      <c r="I345" s="112"/>
      <c r="J345" s="57">
        <v>1000</v>
      </c>
      <c r="K345" s="57">
        <v>1800</v>
      </c>
      <c r="L345" s="57"/>
      <c r="M345" s="57"/>
      <c r="N345" s="57"/>
      <c r="O345" s="57"/>
      <c r="P345" s="68"/>
      <c r="Q345" s="58"/>
      <c r="R345" s="93">
        <v>2800</v>
      </c>
      <c r="S345" s="74">
        <f t="shared" si="299"/>
        <v>-216</v>
      </c>
      <c r="T345" s="95">
        <f t="shared" si="281"/>
        <v>2584</v>
      </c>
      <c r="U345" s="112"/>
      <c r="V345" s="57">
        <v>1000</v>
      </c>
      <c r="W345" s="57">
        <f>1800*0.88</f>
        <v>1584</v>
      </c>
      <c r="X345" s="57"/>
      <c r="Y345" s="57"/>
      <c r="Z345" s="57"/>
      <c r="AA345" s="57"/>
      <c r="AB345" s="68"/>
      <c r="AC345" s="58"/>
      <c r="AD345" s="170">
        <f>P345*Q345</f>
        <v>0</v>
      </c>
      <c r="AE345" s="89">
        <f t="shared" si="292"/>
        <v>0</v>
      </c>
      <c r="AF345" s="216">
        <f t="shared" si="293"/>
        <v>0</v>
      </c>
      <c r="AG345" s="147"/>
      <c r="AH345" s="148"/>
      <c r="AI345" s="148"/>
      <c r="AJ345" s="148"/>
      <c r="AK345" s="148"/>
      <c r="AL345" s="148"/>
      <c r="AM345" s="148"/>
      <c r="AN345" s="149"/>
      <c r="AO345" s="150"/>
      <c r="AP345" s="76"/>
      <c r="AQ345" s="76"/>
      <c r="AR345" s="128"/>
      <c r="AS345" s="108">
        <f t="shared" si="283"/>
        <v>1</v>
      </c>
      <c r="AT345" s="249">
        <f t="shared" si="284"/>
        <v>0.92285714285714282</v>
      </c>
      <c r="AU345" s="249">
        <f t="shared" si="285"/>
        <v>0</v>
      </c>
      <c r="AV345" s="249">
        <f t="shared" si="286"/>
        <v>0</v>
      </c>
    </row>
    <row r="346" spans="1:48" outlineLevel="1" x14ac:dyDescent="0.25">
      <c r="A346" s="4" t="s">
        <v>1106</v>
      </c>
      <c r="B346" s="75" t="s">
        <v>47</v>
      </c>
      <c r="C346" s="25"/>
      <c r="D346" s="92">
        <v>1</v>
      </c>
      <c r="E346" s="110">
        <v>600</v>
      </c>
      <c r="F346" s="93">
        <f t="shared" si="303"/>
        <v>600</v>
      </c>
      <c r="G346" s="74">
        <f t="shared" si="304"/>
        <v>0</v>
      </c>
      <c r="H346" s="95">
        <f t="shared" si="298"/>
        <v>600</v>
      </c>
      <c r="I346" s="112"/>
      <c r="J346" s="57"/>
      <c r="K346" s="57">
        <v>600</v>
      </c>
      <c r="L346" s="57"/>
      <c r="M346" s="57"/>
      <c r="N346" s="57"/>
      <c r="O346" s="57"/>
      <c r="P346" s="68"/>
      <c r="Q346" s="58"/>
      <c r="R346" s="93">
        <v>600</v>
      </c>
      <c r="S346" s="74">
        <f t="shared" si="299"/>
        <v>-72</v>
      </c>
      <c r="T346" s="95">
        <f t="shared" si="281"/>
        <v>528</v>
      </c>
      <c r="U346" s="112"/>
      <c r="V346" s="57"/>
      <c r="W346" s="57">
        <f>600*0.88</f>
        <v>528</v>
      </c>
      <c r="X346" s="57"/>
      <c r="Y346" s="57"/>
      <c r="Z346" s="57"/>
      <c r="AA346" s="57"/>
      <c r="AB346" s="68"/>
      <c r="AC346" s="58"/>
      <c r="AD346" s="170">
        <f>P346*Q346</f>
        <v>0</v>
      </c>
      <c r="AE346" s="89">
        <f t="shared" si="292"/>
        <v>0</v>
      </c>
      <c r="AF346" s="216">
        <f t="shared" si="293"/>
        <v>0</v>
      </c>
      <c r="AG346" s="147"/>
      <c r="AH346" s="148"/>
      <c r="AI346" s="148"/>
      <c r="AJ346" s="148"/>
      <c r="AK346" s="148"/>
      <c r="AL346" s="148"/>
      <c r="AM346" s="148"/>
      <c r="AN346" s="149"/>
      <c r="AO346" s="150"/>
      <c r="AP346" s="76"/>
      <c r="AQ346" s="76"/>
      <c r="AR346" s="128"/>
      <c r="AS346" s="108">
        <f t="shared" si="283"/>
        <v>1</v>
      </c>
      <c r="AT346" s="249">
        <f t="shared" si="284"/>
        <v>0.88</v>
      </c>
      <c r="AU346" s="249">
        <f t="shared" si="285"/>
        <v>0</v>
      </c>
      <c r="AV346" s="249">
        <f t="shared" si="286"/>
        <v>0</v>
      </c>
    </row>
    <row r="347" spans="1:48" s="280" customFormat="1" ht="15.75" x14ac:dyDescent="0.25">
      <c r="A347" s="270" t="s">
        <v>301</v>
      </c>
      <c r="B347" s="271" t="s">
        <v>249</v>
      </c>
      <c r="C347" s="272"/>
      <c r="D347" s="273"/>
      <c r="E347" s="274"/>
      <c r="F347" s="264">
        <f>SUM(F348:F351)</f>
        <v>67800</v>
      </c>
      <c r="G347" s="265">
        <f t="shared" si="304"/>
        <v>9.750000000349246E-2</v>
      </c>
      <c r="H347" s="275">
        <f t="shared" si="298"/>
        <v>67800.097500000003</v>
      </c>
      <c r="I347" s="267">
        <f t="shared" ref="I347:Q347" si="305">SUM(I348:I351)</f>
        <v>0</v>
      </c>
      <c r="J347" s="268">
        <f t="shared" si="305"/>
        <v>7982</v>
      </c>
      <c r="K347" s="268">
        <f t="shared" si="305"/>
        <v>34167.172500000001</v>
      </c>
      <c r="L347" s="268">
        <f t="shared" si="305"/>
        <v>25650.924999999999</v>
      </c>
      <c r="M347" s="268">
        <f t="shared" si="305"/>
        <v>0</v>
      </c>
      <c r="N347" s="268">
        <f t="shared" si="305"/>
        <v>0</v>
      </c>
      <c r="O347" s="268">
        <f t="shared" si="305"/>
        <v>0</v>
      </c>
      <c r="P347" s="268">
        <f t="shared" si="305"/>
        <v>0</v>
      </c>
      <c r="Q347" s="269">
        <f t="shared" si="305"/>
        <v>0</v>
      </c>
      <c r="R347" s="264">
        <f>SUM(R348:R351)</f>
        <v>67800</v>
      </c>
      <c r="S347" s="265">
        <f t="shared" si="299"/>
        <v>-4099.9631999999983</v>
      </c>
      <c r="T347" s="275">
        <f t="shared" si="281"/>
        <v>63700.036800000002</v>
      </c>
      <c r="U347" s="267">
        <f t="shared" ref="U347:AC347" si="306">SUM(U348:U351)</f>
        <v>0</v>
      </c>
      <c r="V347" s="268">
        <f t="shared" si="306"/>
        <v>7982</v>
      </c>
      <c r="W347" s="268">
        <f t="shared" si="306"/>
        <v>30067.111800000002</v>
      </c>
      <c r="X347" s="268">
        <f t="shared" si="306"/>
        <v>25650.924999999999</v>
      </c>
      <c r="Y347" s="268">
        <f t="shared" si="306"/>
        <v>0</v>
      </c>
      <c r="Z347" s="268">
        <f t="shared" si="306"/>
        <v>0</v>
      </c>
      <c r="AA347" s="268">
        <f t="shared" si="306"/>
        <v>0</v>
      </c>
      <c r="AB347" s="268">
        <f t="shared" si="306"/>
        <v>0</v>
      </c>
      <c r="AC347" s="269">
        <f t="shared" si="306"/>
        <v>0</v>
      </c>
      <c r="AD347" s="264">
        <f>SUM(AD348:AD351)</f>
        <v>782.54</v>
      </c>
      <c r="AE347" s="265">
        <f t="shared" si="292"/>
        <v>-782.54</v>
      </c>
      <c r="AF347" s="266">
        <f t="shared" si="293"/>
        <v>0</v>
      </c>
      <c r="AG347" s="267">
        <f t="shared" ref="AG347:AO347" si="307">SUM(AG348:AG351)</f>
        <v>0</v>
      </c>
      <c r="AH347" s="268">
        <f t="shared" si="307"/>
        <v>0</v>
      </c>
      <c r="AI347" s="268">
        <f t="shared" si="307"/>
        <v>0</v>
      </c>
      <c r="AJ347" s="268">
        <f t="shared" si="307"/>
        <v>0</v>
      </c>
      <c r="AK347" s="268">
        <f t="shared" si="307"/>
        <v>0</v>
      </c>
      <c r="AL347" s="268">
        <f t="shared" si="307"/>
        <v>0</v>
      </c>
      <c r="AM347" s="268">
        <f t="shared" si="307"/>
        <v>0</v>
      </c>
      <c r="AN347" s="268">
        <f t="shared" si="307"/>
        <v>0</v>
      </c>
      <c r="AO347" s="269">
        <f t="shared" si="307"/>
        <v>0</v>
      </c>
      <c r="AP347" s="276">
        <v>54637</v>
      </c>
      <c r="AQ347" s="276">
        <f>50988.47+5709.35</f>
        <v>56697.82</v>
      </c>
      <c r="AR347" s="277">
        <f>AQ347*100/AP347</f>
        <v>103.77183959587825</v>
      </c>
      <c r="AS347" s="278">
        <f t="shared" si="283"/>
        <v>1</v>
      </c>
      <c r="AT347" s="279">
        <f t="shared" si="284"/>
        <v>0.93952721528165939</v>
      </c>
      <c r="AU347" s="279">
        <f t="shared" si="285"/>
        <v>1.1541887905604719E-2</v>
      </c>
      <c r="AV347" s="279">
        <f t="shared" si="286"/>
        <v>0</v>
      </c>
    </row>
    <row r="348" spans="1:48" outlineLevel="1" x14ac:dyDescent="0.25">
      <c r="A348" s="4" t="s">
        <v>302</v>
      </c>
      <c r="B348" s="75" t="s">
        <v>999</v>
      </c>
      <c r="C348" s="25"/>
      <c r="D348" s="92">
        <v>1</v>
      </c>
      <c r="E348" s="110">
        <v>53568</v>
      </c>
      <c r="F348" s="93">
        <f>D348*E348</f>
        <v>53568</v>
      </c>
      <c r="G348" s="74">
        <f t="shared" si="304"/>
        <v>9.750000000349246E-2</v>
      </c>
      <c r="H348" s="95">
        <f t="shared" si="298"/>
        <v>53568.097500000003</v>
      </c>
      <c r="I348" s="112"/>
      <c r="J348" s="57">
        <v>6000</v>
      </c>
      <c r="K348" s="57">
        <f>43303*0.95*0.85-7000-1050-4200-800</f>
        <v>21917.172500000001</v>
      </c>
      <c r="L348" s="57">
        <f>36145*0.9*0.85-2000</f>
        <v>25650.924999999999</v>
      </c>
      <c r="M348" s="57"/>
      <c r="N348" s="57"/>
      <c r="O348" s="57"/>
      <c r="P348" s="68"/>
      <c r="Q348" s="58"/>
      <c r="R348" s="93">
        <v>53568</v>
      </c>
      <c r="S348" s="74">
        <f t="shared" si="299"/>
        <v>-2629.9631999999983</v>
      </c>
      <c r="T348" s="95">
        <f t="shared" si="281"/>
        <v>50938.036800000002</v>
      </c>
      <c r="U348" s="112"/>
      <c r="V348" s="57">
        <v>6000</v>
      </c>
      <c r="W348" s="57">
        <f>(43303*0.95*0.85-7000-1050-4200-800)*0.88</f>
        <v>19287.111800000002</v>
      </c>
      <c r="X348" s="57">
        <f>36145*0.9*0.85-2000</f>
        <v>25650.924999999999</v>
      </c>
      <c r="Y348" s="57"/>
      <c r="Z348" s="57"/>
      <c r="AA348" s="57"/>
      <c r="AB348" s="68"/>
      <c r="AC348" s="58"/>
      <c r="AD348" s="170">
        <v>782.54</v>
      </c>
      <c r="AE348" s="89">
        <f t="shared" si="292"/>
        <v>-782.54</v>
      </c>
      <c r="AF348" s="216">
        <f t="shared" si="293"/>
        <v>0</v>
      </c>
      <c r="AG348" s="147"/>
      <c r="AH348" s="148"/>
      <c r="AI348" s="148"/>
      <c r="AJ348" s="148"/>
      <c r="AK348" s="148"/>
      <c r="AL348" s="148"/>
      <c r="AM348" s="148"/>
      <c r="AN348" s="149"/>
      <c r="AO348" s="150"/>
      <c r="AP348" s="76"/>
      <c r="AQ348" s="76"/>
      <c r="AR348" s="128"/>
      <c r="AS348" s="108">
        <f t="shared" si="283"/>
        <v>1</v>
      </c>
      <c r="AT348" s="249">
        <f t="shared" si="284"/>
        <v>0.95090248071625094</v>
      </c>
      <c r="AU348" s="249">
        <f t="shared" si="285"/>
        <v>1.4608348267622461E-2</v>
      </c>
      <c r="AV348" s="249">
        <f t="shared" si="286"/>
        <v>0</v>
      </c>
    </row>
    <row r="349" spans="1:48" outlineLevel="1" x14ac:dyDescent="0.25">
      <c r="A349" s="6" t="s">
        <v>303</v>
      </c>
      <c r="B349" s="75" t="s">
        <v>936</v>
      </c>
      <c r="C349" s="25"/>
      <c r="D349" s="92">
        <v>2</v>
      </c>
      <c r="E349" s="110">
        <v>3500</v>
      </c>
      <c r="F349" s="93">
        <f>D349*E349</f>
        <v>7000</v>
      </c>
      <c r="G349" s="74">
        <f t="shared" si="304"/>
        <v>0</v>
      </c>
      <c r="H349" s="95">
        <f t="shared" si="298"/>
        <v>7000</v>
      </c>
      <c r="I349" s="112"/>
      <c r="J349" s="57"/>
      <c r="K349" s="57">
        <v>7000</v>
      </c>
      <c r="L349" s="57"/>
      <c r="M349" s="57"/>
      <c r="N349" s="57"/>
      <c r="O349" s="57"/>
      <c r="P349" s="68"/>
      <c r="Q349" s="58"/>
      <c r="R349" s="93">
        <v>7000</v>
      </c>
      <c r="S349" s="74">
        <f t="shared" si="299"/>
        <v>-840</v>
      </c>
      <c r="T349" s="95">
        <f t="shared" si="281"/>
        <v>6160</v>
      </c>
      <c r="U349" s="112"/>
      <c r="V349" s="57"/>
      <c r="W349" s="57">
        <f>7000*0.88</f>
        <v>6160</v>
      </c>
      <c r="X349" s="57"/>
      <c r="Y349" s="57"/>
      <c r="Z349" s="57"/>
      <c r="AA349" s="57"/>
      <c r="AB349" s="68"/>
      <c r="AC349" s="58"/>
      <c r="AD349" s="170">
        <f>P349*Q349</f>
        <v>0</v>
      </c>
      <c r="AE349" s="89">
        <f t="shared" si="292"/>
        <v>0</v>
      </c>
      <c r="AF349" s="216">
        <f t="shared" si="293"/>
        <v>0</v>
      </c>
      <c r="AG349" s="147"/>
      <c r="AH349" s="148"/>
      <c r="AI349" s="148"/>
      <c r="AJ349" s="148"/>
      <c r="AK349" s="148"/>
      <c r="AL349" s="148"/>
      <c r="AM349" s="148"/>
      <c r="AN349" s="149"/>
      <c r="AO349" s="150"/>
      <c r="AP349" s="76"/>
      <c r="AQ349" s="76"/>
      <c r="AR349" s="128"/>
      <c r="AS349" s="108">
        <f t="shared" si="283"/>
        <v>1</v>
      </c>
      <c r="AT349" s="249">
        <f t="shared" si="284"/>
        <v>0.88</v>
      </c>
      <c r="AU349" s="249">
        <f t="shared" si="285"/>
        <v>0</v>
      </c>
      <c r="AV349" s="249">
        <f t="shared" si="286"/>
        <v>0</v>
      </c>
    </row>
    <row r="350" spans="1:48" outlineLevel="1" x14ac:dyDescent="0.25">
      <c r="A350" s="4" t="s">
        <v>304</v>
      </c>
      <c r="B350" s="75" t="s">
        <v>268</v>
      </c>
      <c r="C350" s="25"/>
      <c r="D350" s="92">
        <v>1</v>
      </c>
      <c r="E350" s="110">
        <f>2950-1900</f>
        <v>1050</v>
      </c>
      <c r="F350" s="93">
        <f>D350*E350</f>
        <v>1050</v>
      </c>
      <c r="G350" s="74">
        <f t="shared" si="304"/>
        <v>0</v>
      </c>
      <c r="H350" s="95">
        <f t="shared" si="298"/>
        <v>1050</v>
      </c>
      <c r="I350" s="112"/>
      <c r="J350" s="57"/>
      <c r="K350" s="57">
        <v>1050</v>
      </c>
      <c r="L350" s="57"/>
      <c r="M350" s="57"/>
      <c r="N350" s="57"/>
      <c r="O350" s="57"/>
      <c r="P350" s="68"/>
      <c r="Q350" s="58"/>
      <c r="R350" s="93">
        <v>1050</v>
      </c>
      <c r="S350" s="74">
        <f t="shared" si="299"/>
        <v>-126</v>
      </c>
      <c r="T350" s="95">
        <f t="shared" si="281"/>
        <v>924</v>
      </c>
      <c r="U350" s="112"/>
      <c r="V350" s="57"/>
      <c r="W350" s="57">
        <f>1050*0.88</f>
        <v>924</v>
      </c>
      <c r="X350" s="57"/>
      <c r="Y350" s="57"/>
      <c r="Z350" s="57"/>
      <c r="AA350" s="57"/>
      <c r="AB350" s="68"/>
      <c r="AC350" s="58"/>
      <c r="AD350" s="170">
        <f>P350*Q350</f>
        <v>0</v>
      </c>
      <c r="AE350" s="89">
        <f t="shared" si="292"/>
        <v>0</v>
      </c>
      <c r="AF350" s="216">
        <f t="shared" si="293"/>
        <v>0</v>
      </c>
      <c r="AG350" s="147"/>
      <c r="AH350" s="148"/>
      <c r="AI350" s="148"/>
      <c r="AJ350" s="148"/>
      <c r="AK350" s="148"/>
      <c r="AL350" s="148"/>
      <c r="AM350" s="148"/>
      <c r="AN350" s="149"/>
      <c r="AO350" s="150"/>
      <c r="AP350" s="76"/>
      <c r="AQ350" s="76"/>
      <c r="AR350" s="128"/>
      <c r="AS350" s="108">
        <f t="shared" si="283"/>
        <v>1</v>
      </c>
      <c r="AT350" s="249">
        <f t="shared" si="284"/>
        <v>0.88</v>
      </c>
      <c r="AU350" s="249">
        <f t="shared" si="285"/>
        <v>0</v>
      </c>
      <c r="AV350" s="249">
        <f t="shared" si="286"/>
        <v>0</v>
      </c>
    </row>
    <row r="351" spans="1:48" outlineLevel="1" x14ac:dyDescent="0.25">
      <c r="A351" s="4" t="s">
        <v>305</v>
      </c>
      <c r="B351" s="75" t="s">
        <v>269</v>
      </c>
      <c r="C351" s="25"/>
      <c r="D351" s="92">
        <v>2</v>
      </c>
      <c r="E351" s="110">
        <f>2800+285+6</f>
        <v>3091</v>
      </c>
      <c r="F351" s="93">
        <f>D351*E351</f>
        <v>6182</v>
      </c>
      <c r="G351" s="74">
        <f t="shared" si="304"/>
        <v>0</v>
      </c>
      <c r="H351" s="95">
        <f t="shared" si="298"/>
        <v>6182</v>
      </c>
      <c r="I351" s="112"/>
      <c r="J351" s="57">
        <v>1982</v>
      </c>
      <c r="K351" s="57">
        <v>4200</v>
      </c>
      <c r="L351" s="57"/>
      <c r="M351" s="57"/>
      <c r="N351" s="57"/>
      <c r="O351" s="57"/>
      <c r="P351" s="68"/>
      <c r="Q351" s="58"/>
      <c r="R351" s="93">
        <v>6182</v>
      </c>
      <c r="S351" s="74">
        <f t="shared" si="299"/>
        <v>-504</v>
      </c>
      <c r="T351" s="95">
        <f t="shared" si="281"/>
        <v>5678</v>
      </c>
      <c r="U351" s="112"/>
      <c r="V351" s="57">
        <v>1982</v>
      </c>
      <c r="W351" s="57">
        <f>4200*0.88</f>
        <v>3696</v>
      </c>
      <c r="X351" s="57"/>
      <c r="Y351" s="57"/>
      <c r="Z351" s="57"/>
      <c r="AA351" s="57"/>
      <c r="AB351" s="68"/>
      <c r="AC351" s="58"/>
      <c r="AD351" s="170">
        <f>P351*Q351</f>
        <v>0</v>
      </c>
      <c r="AE351" s="89">
        <f t="shared" si="292"/>
        <v>0</v>
      </c>
      <c r="AF351" s="216">
        <f t="shared" si="293"/>
        <v>0</v>
      </c>
      <c r="AG351" s="147"/>
      <c r="AH351" s="148"/>
      <c r="AI351" s="148"/>
      <c r="AJ351" s="148"/>
      <c r="AK351" s="148"/>
      <c r="AL351" s="148"/>
      <c r="AM351" s="148"/>
      <c r="AN351" s="149"/>
      <c r="AO351" s="150"/>
      <c r="AP351" s="76"/>
      <c r="AQ351" s="76"/>
      <c r="AR351" s="128"/>
      <c r="AS351" s="108">
        <f t="shared" si="283"/>
        <v>1</v>
      </c>
      <c r="AT351" s="249">
        <f t="shared" si="284"/>
        <v>0.91847298608864447</v>
      </c>
      <c r="AU351" s="249">
        <f t="shared" si="285"/>
        <v>0</v>
      </c>
      <c r="AV351" s="249">
        <f t="shared" si="286"/>
        <v>0</v>
      </c>
    </row>
    <row r="352" spans="1:48" s="280" customFormat="1" ht="15.75" x14ac:dyDescent="0.25">
      <c r="A352" s="270" t="s">
        <v>618</v>
      </c>
      <c r="B352" s="271" t="s">
        <v>250</v>
      </c>
      <c r="C352" s="272"/>
      <c r="D352" s="273"/>
      <c r="E352" s="274"/>
      <c r="F352" s="264">
        <f>SUM(F353:F359)</f>
        <v>13550</v>
      </c>
      <c r="G352" s="265">
        <f t="shared" si="304"/>
        <v>0</v>
      </c>
      <c r="H352" s="275">
        <f t="shared" si="298"/>
        <v>13550</v>
      </c>
      <c r="I352" s="267">
        <f t="shared" ref="I352:Q352" si="308">SUM(I353:I359)</f>
        <v>2750</v>
      </c>
      <c r="J352" s="268">
        <f t="shared" si="308"/>
        <v>8000</v>
      </c>
      <c r="K352" s="268">
        <f t="shared" si="308"/>
        <v>800</v>
      </c>
      <c r="L352" s="268">
        <f t="shared" si="308"/>
        <v>2000</v>
      </c>
      <c r="M352" s="268">
        <f t="shared" si="308"/>
        <v>0</v>
      </c>
      <c r="N352" s="268">
        <f t="shared" si="308"/>
        <v>0</v>
      </c>
      <c r="O352" s="268">
        <f t="shared" si="308"/>
        <v>0</v>
      </c>
      <c r="P352" s="268">
        <f t="shared" si="308"/>
        <v>0</v>
      </c>
      <c r="Q352" s="269">
        <f t="shared" si="308"/>
        <v>0</v>
      </c>
      <c r="R352" s="264">
        <f>SUM(R353:R359)</f>
        <v>13550</v>
      </c>
      <c r="S352" s="265">
        <f t="shared" si="299"/>
        <v>-96</v>
      </c>
      <c r="T352" s="275">
        <f t="shared" si="281"/>
        <v>13454</v>
      </c>
      <c r="U352" s="267">
        <f t="shared" ref="U352:AC352" si="309">SUM(U353:U359)</f>
        <v>2750</v>
      </c>
      <c r="V352" s="268">
        <f t="shared" si="309"/>
        <v>8000</v>
      </c>
      <c r="W352" s="268">
        <f t="shared" si="309"/>
        <v>704</v>
      </c>
      <c r="X352" s="268">
        <f t="shared" si="309"/>
        <v>2000</v>
      </c>
      <c r="Y352" s="268">
        <f t="shared" si="309"/>
        <v>0</v>
      </c>
      <c r="Z352" s="268">
        <f t="shared" si="309"/>
        <v>0</v>
      </c>
      <c r="AA352" s="268">
        <f t="shared" si="309"/>
        <v>0</v>
      </c>
      <c r="AB352" s="268">
        <f t="shared" si="309"/>
        <v>0</v>
      </c>
      <c r="AC352" s="269">
        <f t="shared" si="309"/>
        <v>0</v>
      </c>
      <c r="AD352" s="264">
        <f>SUM(AD353:AD359)</f>
        <v>1695.35</v>
      </c>
      <c r="AE352" s="265">
        <f t="shared" si="292"/>
        <v>-1695.35</v>
      </c>
      <c r="AF352" s="266">
        <f t="shared" si="293"/>
        <v>0</v>
      </c>
      <c r="AG352" s="267">
        <f t="shared" ref="AG352:AO352" si="310">SUM(AG353:AG359)</f>
        <v>0</v>
      </c>
      <c r="AH352" s="268">
        <f t="shared" si="310"/>
        <v>0</v>
      </c>
      <c r="AI352" s="268">
        <f t="shared" si="310"/>
        <v>0</v>
      </c>
      <c r="AJ352" s="268">
        <f t="shared" si="310"/>
        <v>0</v>
      </c>
      <c r="AK352" s="268">
        <f t="shared" si="310"/>
        <v>0</v>
      </c>
      <c r="AL352" s="268">
        <f t="shared" si="310"/>
        <v>0</v>
      </c>
      <c r="AM352" s="268">
        <f t="shared" si="310"/>
        <v>0</v>
      </c>
      <c r="AN352" s="268">
        <f t="shared" si="310"/>
        <v>0</v>
      </c>
      <c r="AO352" s="269">
        <f t="shared" si="310"/>
        <v>0</v>
      </c>
      <c r="AP352" s="276">
        <v>11750</v>
      </c>
      <c r="AQ352" s="276">
        <f>667.34+1690.64+500+400+4459.09+3642.84+647.24</f>
        <v>12007.15</v>
      </c>
      <c r="AR352" s="277">
        <f>AQ352*100/AP352</f>
        <v>102.18851063829787</v>
      </c>
      <c r="AS352" s="278">
        <f t="shared" si="283"/>
        <v>1</v>
      </c>
      <c r="AT352" s="279">
        <f t="shared" si="284"/>
        <v>0.99291512915129154</v>
      </c>
      <c r="AU352" s="279">
        <f t="shared" si="285"/>
        <v>0.1251180811808118</v>
      </c>
      <c r="AV352" s="279">
        <f t="shared" si="286"/>
        <v>0</v>
      </c>
    </row>
    <row r="353" spans="1:48" outlineLevel="1" x14ac:dyDescent="0.25">
      <c r="A353" s="4" t="s">
        <v>978</v>
      </c>
      <c r="B353" s="75" t="s">
        <v>998</v>
      </c>
      <c r="C353" s="25"/>
      <c r="D353" s="92">
        <v>2</v>
      </c>
      <c r="E353" s="110">
        <v>400</v>
      </c>
      <c r="F353" s="93">
        <f t="shared" ref="F353:F359" si="311">D353*E353</f>
        <v>800</v>
      </c>
      <c r="G353" s="74">
        <f t="shared" si="304"/>
        <v>0</v>
      </c>
      <c r="H353" s="95">
        <f t="shared" si="298"/>
        <v>800</v>
      </c>
      <c r="I353" s="112"/>
      <c r="J353" s="57"/>
      <c r="K353" s="57">
        <v>800</v>
      </c>
      <c r="L353" s="57"/>
      <c r="M353" s="57"/>
      <c r="N353" s="57"/>
      <c r="O353" s="57"/>
      <c r="P353" s="68"/>
      <c r="Q353" s="58"/>
      <c r="R353" s="93">
        <v>800</v>
      </c>
      <c r="S353" s="74">
        <f t="shared" si="299"/>
        <v>-96</v>
      </c>
      <c r="T353" s="95">
        <f t="shared" si="281"/>
        <v>704</v>
      </c>
      <c r="U353" s="112"/>
      <c r="V353" s="57"/>
      <c r="W353" s="57">
        <f>800*0.88</f>
        <v>704</v>
      </c>
      <c r="X353" s="57"/>
      <c r="Y353" s="57"/>
      <c r="Z353" s="57"/>
      <c r="AA353" s="57"/>
      <c r="AB353" s="68"/>
      <c r="AC353" s="58"/>
      <c r="AD353" s="170">
        <f>P353*Q353</f>
        <v>0</v>
      </c>
      <c r="AE353" s="89">
        <f t="shared" si="292"/>
        <v>0</v>
      </c>
      <c r="AF353" s="216">
        <f t="shared" si="293"/>
        <v>0</v>
      </c>
      <c r="AG353" s="147"/>
      <c r="AH353" s="148"/>
      <c r="AI353" s="148"/>
      <c r="AJ353" s="148"/>
      <c r="AK353" s="148"/>
      <c r="AL353" s="148"/>
      <c r="AM353" s="148"/>
      <c r="AN353" s="149"/>
      <c r="AO353" s="150"/>
      <c r="AP353" s="76"/>
      <c r="AQ353" s="76"/>
      <c r="AR353" s="128"/>
      <c r="AS353" s="108">
        <f t="shared" si="283"/>
        <v>1</v>
      </c>
      <c r="AT353" s="249">
        <f t="shared" si="284"/>
        <v>0.88</v>
      </c>
      <c r="AU353" s="249">
        <f t="shared" si="285"/>
        <v>0</v>
      </c>
      <c r="AV353" s="249">
        <f t="shared" si="286"/>
        <v>0</v>
      </c>
    </row>
    <row r="354" spans="1:48" outlineLevel="1" x14ac:dyDescent="0.25">
      <c r="A354" s="4" t="s">
        <v>979</v>
      </c>
      <c r="B354" s="75" t="s">
        <v>270</v>
      </c>
      <c r="C354" s="25"/>
      <c r="D354" s="92">
        <v>1</v>
      </c>
      <c r="E354" s="110">
        <v>400</v>
      </c>
      <c r="F354" s="93">
        <f>D354*E354</f>
        <v>400</v>
      </c>
      <c r="G354" s="74">
        <f t="shared" si="304"/>
        <v>0</v>
      </c>
      <c r="H354" s="95">
        <f t="shared" si="298"/>
        <v>400</v>
      </c>
      <c r="I354" s="112">
        <v>400</v>
      </c>
      <c r="J354" s="57"/>
      <c r="K354" s="57"/>
      <c r="L354" s="57"/>
      <c r="M354" s="57"/>
      <c r="N354" s="57"/>
      <c r="O354" s="57"/>
      <c r="P354" s="68"/>
      <c r="Q354" s="58"/>
      <c r="R354" s="93">
        <v>400</v>
      </c>
      <c r="S354" s="74">
        <f t="shared" si="299"/>
        <v>0</v>
      </c>
      <c r="T354" s="95">
        <f t="shared" si="281"/>
        <v>400</v>
      </c>
      <c r="U354" s="112">
        <v>400</v>
      </c>
      <c r="V354" s="57"/>
      <c r="W354" s="57"/>
      <c r="X354" s="57"/>
      <c r="Y354" s="57"/>
      <c r="Z354" s="57"/>
      <c r="AA354" s="57"/>
      <c r="AB354" s="68"/>
      <c r="AC354" s="58"/>
      <c r="AD354" s="170">
        <f>P354*Q354</f>
        <v>0</v>
      </c>
      <c r="AE354" s="89">
        <f t="shared" si="292"/>
        <v>0</v>
      </c>
      <c r="AF354" s="216">
        <f t="shared" si="293"/>
        <v>0</v>
      </c>
      <c r="AG354" s="147"/>
      <c r="AH354" s="148"/>
      <c r="AI354" s="148"/>
      <c r="AJ354" s="148"/>
      <c r="AK354" s="148"/>
      <c r="AL354" s="148"/>
      <c r="AM354" s="148"/>
      <c r="AN354" s="149"/>
      <c r="AO354" s="150"/>
      <c r="AP354" s="76"/>
      <c r="AQ354" s="76"/>
      <c r="AR354" s="128"/>
      <c r="AS354" s="108">
        <f t="shared" si="283"/>
        <v>1</v>
      </c>
      <c r="AT354" s="249">
        <f t="shared" si="284"/>
        <v>1</v>
      </c>
      <c r="AU354" s="249">
        <f t="shared" si="285"/>
        <v>0</v>
      </c>
      <c r="AV354" s="249">
        <f t="shared" si="286"/>
        <v>0</v>
      </c>
    </row>
    <row r="355" spans="1:48" outlineLevel="1" x14ac:dyDescent="0.25">
      <c r="A355" s="4" t="s">
        <v>980</v>
      </c>
      <c r="B355" s="75" t="s">
        <v>266</v>
      </c>
      <c r="C355" s="25"/>
      <c r="D355" s="92">
        <v>1</v>
      </c>
      <c r="E355" s="110">
        <v>1200</v>
      </c>
      <c r="F355" s="93">
        <f>D355*E355</f>
        <v>1200</v>
      </c>
      <c r="G355" s="74">
        <f t="shared" si="304"/>
        <v>0</v>
      </c>
      <c r="H355" s="95">
        <f t="shared" si="298"/>
        <v>1200</v>
      </c>
      <c r="I355" s="112">
        <v>1200</v>
      </c>
      <c r="J355" s="57"/>
      <c r="K355" s="57"/>
      <c r="L355" s="57"/>
      <c r="M355" s="57"/>
      <c r="N355" s="57"/>
      <c r="O355" s="57"/>
      <c r="P355" s="68"/>
      <c r="Q355" s="58"/>
      <c r="R355" s="93">
        <v>1200</v>
      </c>
      <c r="S355" s="74">
        <f t="shared" si="299"/>
        <v>0</v>
      </c>
      <c r="T355" s="95">
        <f t="shared" si="281"/>
        <v>1200</v>
      </c>
      <c r="U355" s="112">
        <v>1200</v>
      </c>
      <c r="V355" s="57"/>
      <c r="W355" s="57"/>
      <c r="X355" s="57"/>
      <c r="Y355" s="57"/>
      <c r="Z355" s="57"/>
      <c r="AA355" s="57"/>
      <c r="AB355" s="68"/>
      <c r="AC355" s="58"/>
      <c r="AD355" s="170">
        <v>1695.35</v>
      </c>
      <c r="AE355" s="89">
        <f t="shared" si="292"/>
        <v>-1695.35</v>
      </c>
      <c r="AF355" s="216">
        <f t="shared" si="293"/>
        <v>0</v>
      </c>
      <c r="AG355" s="147"/>
      <c r="AH355" s="148"/>
      <c r="AI355" s="148"/>
      <c r="AJ355" s="148"/>
      <c r="AK355" s="148"/>
      <c r="AL355" s="148"/>
      <c r="AM355" s="148"/>
      <c r="AN355" s="149"/>
      <c r="AO355" s="150"/>
      <c r="AP355" s="76"/>
      <c r="AQ355" s="76"/>
      <c r="AR355" s="128"/>
      <c r="AS355" s="108">
        <f t="shared" si="283"/>
        <v>1</v>
      </c>
      <c r="AT355" s="249">
        <f t="shared" si="284"/>
        <v>1</v>
      </c>
      <c r="AU355" s="249">
        <f t="shared" si="285"/>
        <v>1.4127916666666667</v>
      </c>
      <c r="AV355" s="249">
        <f t="shared" si="286"/>
        <v>0</v>
      </c>
    </row>
    <row r="356" spans="1:48" outlineLevel="1" x14ac:dyDescent="0.25">
      <c r="A356" s="4" t="s">
        <v>649</v>
      </c>
      <c r="B356" s="75" t="s">
        <v>271</v>
      </c>
      <c r="C356" s="25"/>
      <c r="D356" s="92">
        <v>1</v>
      </c>
      <c r="E356" s="110">
        <v>450</v>
      </c>
      <c r="F356" s="93">
        <f t="shared" si="311"/>
        <v>450</v>
      </c>
      <c r="G356" s="74">
        <f t="shared" si="304"/>
        <v>0</v>
      </c>
      <c r="H356" s="95">
        <f t="shared" si="298"/>
        <v>450</v>
      </c>
      <c r="I356" s="112">
        <v>450</v>
      </c>
      <c r="J356" s="57"/>
      <c r="K356" s="57"/>
      <c r="L356" s="57"/>
      <c r="M356" s="57"/>
      <c r="N356" s="57"/>
      <c r="O356" s="57"/>
      <c r="P356" s="68"/>
      <c r="Q356" s="58"/>
      <c r="R356" s="93">
        <v>450</v>
      </c>
      <c r="S356" s="74">
        <f t="shared" si="299"/>
        <v>0</v>
      </c>
      <c r="T356" s="95">
        <f t="shared" si="281"/>
        <v>450</v>
      </c>
      <c r="U356" s="112">
        <v>450</v>
      </c>
      <c r="V356" s="57"/>
      <c r="W356" s="57"/>
      <c r="X356" s="57"/>
      <c r="Y356" s="57"/>
      <c r="Z356" s="57"/>
      <c r="AA356" s="57"/>
      <c r="AB356" s="68"/>
      <c r="AC356" s="58"/>
      <c r="AD356" s="170">
        <f>P356*Q356</f>
        <v>0</v>
      </c>
      <c r="AE356" s="89">
        <f t="shared" si="292"/>
        <v>0</v>
      </c>
      <c r="AF356" s="216">
        <f t="shared" si="293"/>
        <v>0</v>
      </c>
      <c r="AG356" s="147"/>
      <c r="AH356" s="148"/>
      <c r="AI356" s="148"/>
      <c r="AJ356" s="148"/>
      <c r="AK356" s="148"/>
      <c r="AL356" s="148"/>
      <c r="AM356" s="148"/>
      <c r="AN356" s="149"/>
      <c r="AO356" s="150"/>
      <c r="AP356" s="76"/>
      <c r="AQ356" s="76"/>
      <c r="AR356" s="128"/>
      <c r="AS356" s="108">
        <f t="shared" si="283"/>
        <v>1</v>
      </c>
      <c r="AT356" s="249">
        <f t="shared" si="284"/>
        <v>1</v>
      </c>
      <c r="AU356" s="249">
        <f t="shared" si="285"/>
        <v>0</v>
      </c>
      <c r="AV356" s="249">
        <f t="shared" si="286"/>
        <v>0</v>
      </c>
    </row>
    <row r="357" spans="1:48" outlineLevel="1" x14ac:dyDescent="0.25">
      <c r="A357" s="4" t="s">
        <v>650</v>
      </c>
      <c r="B357" s="75" t="s">
        <v>272</v>
      </c>
      <c r="C357" s="25"/>
      <c r="D357" s="92">
        <v>1</v>
      </c>
      <c r="E357" s="110">
        <v>8000</v>
      </c>
      <c r="F357" s="93">
        <f>D357*E357</f>
        <v>8000</v>
      </c>
      <c r="G357" s="74">
        <f t="shared" si="304"/>
        <v>0</v>
      </c>
      <c r="H357" s="95">
        <f t="shared" si="298"/>
        <v>8000</v>
      </c>
      <c r="I357" s="112"/>
      <c r="J357" s="57">
        <v>8000</v>
      </c>
      <c r="K357" s="57"/>
      <c r="L357" s="57"/>
      <c r="M357" s="57"/>
      <c r="N357" s="57"/>
      <c r="O357" s="57"/>
      <c r="P357" s="68"/>
      <c r="Q357" s="58"/>
      <c r="R357" s="93">
        <v>8000</v>
      </c>
      <c r="S357" s="74">
        <f t="shared" si="299"/>
        <v>0</v>
      </c>
      <c r="T357" s="95">
        <f t="shared" si="281"/>
        <v>8000</v>
      </c>
      <c r="U357" s="112"/>
      <c r="V357" s="57">
        <v>8000</v>
      </c>
      <c r="W357" s="57"/>
      <c r="X357" s="57"/>
      <c r="Y357" s="57"/>
      <c r="Z357" s="57"/>
      <c r="AA357" s="57"/>
      <c r="AB357" s="68"/>
      <c r="AC357" s="58"/>
      <c r="AD357" s="170">
        <f>P357*Q357</f>
        <v>0</v>
      </c>
      <c r="AE357" s="89">
        <f t="shared" si="292"/>
        <v>0</v>
      </c>
      <c r="AF357" s="216">
        <f t="shared" si="293"/>
        <v>0</v>
      </c>
      <c r="AG357" s="147"/>
      <c r="AH357" s="148"/>
      <c r="AI357" s="148"/>
      <c r="AJ357" s="148"/>
      <c r="AK357" s="148"/>
      <c r="AL357" s="148"/>
      <c r="AM357" s="148"/>
      <c r="AN357" s="149"/>
      <c r="AO357" s="150"/>
      <c r="AP357" s="76"/>
      <c r="AQ357" s="76"/>
      <c r="AR357" s="128"/>
      <c r="AS357" s="108">
        <f t="shared" si="283"/>
        <v>1</v>
      </c>
      <c r="AT357" s="249">
        <f t="shared" si="284"/>
        <v>1</v>
      </c>
      <c r="AU357" s="249">
        <f t="shared" si="285"/>
        <v>0</v>
      </c>
      <c r="AV357" s="249">
        <f t="shared" si="286"/>
        <v>0</v>
      </c>
    </row>
    <row r="358" spans="1:48" outlineLevel="1" x14ac:dyDescent="0.25">
      <c r="A358" s="4" t="s">
        <v>651</v>
      </c>
      <c r="B358" s="75" t="s">
        <v>837</v>
      </c>
      <c r="C358" s="25"/>
      <c r="D358" s="92">
        <v>1</v>
      </c>
      <c r="E358" s="110">
        <v>2000</v>
      </c>
      <c r="F358" s="93">
        <f>D358*E358</f>
        <v>2000</v>
      </c>
      <c r="G358" s="74">
        <f t="shared" si="304"/>
        <v>0</v>
      </c>
      <c r="H358" s="95">
        <f t="shared" si="298"/>
        <v>2000</v>
      </c>
      <c r="I358" s="112"/>
      <c r="J358" s="57"/>
      <c r="K358" s="57"/>
      <c r="L358" s="57">
        <v>2000</v>
      </c>
      <c r="M358" s="57"/>
      <c r="N358" s="57"/>
      <c r="O358" s="57"/>
      <c r="P358" s="68"/>
      <c r="Q358" s="58"/>
      <c r="R358" s="93">
        <v>700</v>
      </c>
      <c r="S358" s="74">
        <f t="shared" si="299"/>
        <v>0</v>
      </c>
      <c r="T358" s="95">
        <v>700</v>
      </c>
      <c r="U358" s="112"/>
      <c r="V358" s="57"/>
      <c r="W358" s="57"/>
      <c r="X358" s="57">
        <v>2000</v>
      </c>
      <c r="Y358" s="57"/>
      <c r="Z358" s="57"/>
      <c r="AA358" s="57"/>
      <c r="AB358" s="68"/>
      <c r="AC358" s="58"/>
      <c r="AD358" s="170">
        <f>P358*Q358</f>
        <v>0</v>
      </c>
      <c r="AE358" s="89">
        <f t="shared" si="292"/>
        <v>0</v>
      </c>
      <c r="AF358" s="216">
        <f t="shared" si="293"/>
        <v>0</v>
      </c>
      <c r="AG358" s="147"/>
      <c r="AH358" s="148"/>
      <c r="AI358" s="148"/>
      <c r="AJ358" s="148"/>
      <c r="AK358" s="148"/>
      <c r="AL358" s="148"/>
      <c r="AM358" s="148"/>
      <c r="AN358" s="149"/>
      <c r="AO358" s="150"/>
      <c r="AP358" s="76"/>
      <c r="AQ358" s="76"/>
      <c r="AR358" s="128"/>
      <c r="AS358" s="108">
        <f t="shared" si="283"/>
        <v>0.35</v>
      </c>
      <c r="AT358" s="249">
        <f t="shared" si="284"/>
        <v>0.35</v>
      </c>
      <c r="AU358" s="249">
        <f t="shared" si="285"/>
        <v>0</v>
      </c>
      <c r="AV358" s="249">
        <f t="shared" si="286"/>
        <v>0</v>
      </c>
    </row>
    <row r="359" spans="1:48" outlineLevel="1" x14ac:dyDescent="0.25">
      <c r="A359" s="4" t="s">
        <v>1107</v>
      </c>
      <c r="B359" s="75" t="s">
        <v>47</v>
      </c>
      <c r="C359" s="25"/>
      <c r="D359" s="92">
        <v>1</v>
      </c>
      <c r="E359" s="110">
        <v>700</v>
      </c>
      <c r="F359" s="93">
        <f t="shared" si="311"/>
        <v>700</v>
      </c>
      <c r="G359" s="74">
        <f t="shared" si="304"/>
        <v>0</v>
      </c>
      <c r="H359" s="95">
        <f t="shared" si="298"/>
        <v>700</v>
      </c>
      <c r="I359" s="112">
        <v>700</v>
      </c>
      <c r="J359" s="57"/>
      <c r="K359" s="57"/>
      <c r="L359" s="57"/>
      <c r="M359" s="57"/>
      <c r="N359" s="57"/>
      <c r="O359" s="57"/>
      <c r="P359" s="68"/>
      <c r="Q359" s="58"/>
      <c r="R359" s="93">
        <v>2000</v>
      </c>
      <c r="S359" s="74">
        <f t="shared" si="299"/>
        <v>0</v>
      </c>
      <c r="T359" s="95">
        <v>2000</v>
      </c>
      <c r="U359" s="112">
        <v>700</v>
      </c>
      <c r="V359" s="57"/>
      <c r="W359" s="57"/>
      <c r="X359" s="57"/>
      <c r="Y359" s="57"/>
      <c r="Z359" s="57"/>
      <c r="AA359" s="57"/>
      <c r="AB359" s="68"/>
      <c r="AC359" s="58"/>
      <c r="AD359" s="170">
        <f>P359*Q359</f>
        <v>0</v>
      </c>
      <c r="AE359" s="89">
        <f t="shared" si="292"/>
        <v>0</v>
      </c>
      <c r="AF359" s="216">
        <f t="shared" si="293"/>
        <v>0</v>
      </c>
      <c r="AG359" s="147"/>
      <c r="AH359" s="148"/>
      <c r="AI359" s="148"/>
      <c r="AJ359" s="148"/>
      <c r="AK359" s="148"/>
      <c r="AL359" s="148"/>
      <c r="AM359" s="148"/>
      <c r="AN359" s="149"/>
      <c r="AO359" s="150"/>
      <c r="AP359" s="76"/>
      <c r="AQ359" s="76"/>
      <c r="AR359" s="128"/>
      <c r="AS359" s="108">
        <f t="shared" si="283"/>
        <v>2.8571428571428572</v>
      </c>
      <c r="AT359" s="249">
        <f t="shared" si="284"/>
        <v>2.8571428571428572</v>
      </c>
      <c r="AU359" s="249">
        <f t="shared" si="285"/>
        <v>0</v>
      </c>
      <c r="AV359" s="249">
        <f t="shared" si="286"/>
        <v>0</v>
      </c>
    </row>
    <row r="360" spans="1:48" s="280" customFormat="1" ht="15.75" x14ac:dyDescent="0.25">
      <c r="A360" s="270" t="s">
        <v>652</v>
      </c>
      <c r="B360" s="271" t="s">
        <v>495</v>
      </c>
      <c r="C360" s="272"/>
      <c r="D360" s="273"/>
      <c r="E360" s="274"/>
      <c r="F360" s="264">
        <f>SUM(F361:F361)</f>
        <v>16894</v>
      </c>
      <c r="G360" s="265">
        <f t="shared" si="304"/>
        <v>4.9999999999272404E-2</v>
      </c>
      <c r="H360" s="275">
        <f t="shared" si="298"/>
        <v>16894.05</v>
      </c>
      <c r="I360" s="267">
        <f t="shared" ref="I360:AO360" si="312">SUM(I361:I361)</f>
        <v>0</v>
      </c>
      <c r="J360" s="268">
        <f t="shared" si="312"/>
        <v>0</v>
      </c>
      <c r="K360" s="268">
        <f t="shared" si="312"/>
        <v>11337.15</v>
      </c>
      <c r="L360" s="268">
        <f t="shared" si="312"/>
        <v>5556.9</v>
      </c>
      <c r="M360" s="268">
        <f t="shared" si="312"/>
        <v>0</v>
      </c>
      <c r="N360" s="268">
        <f t="shared" si="312"/>
        <v>0</v>
      </c>
      <c r="O360" s="268">
        <f t="shared" si="312"/>
        <v>0</v>
      </c>
      <c r="P360" s="268">
        <f t="shared" si="312"/>
        <v>0</v>
      </c>
      <c r="Q360" s="269">
        <f t="shared" si="312"/>
        <v>0</v>
      </c>
      <c r="R360" s="264">
        <f>SUM(R361:R361)</f>
        <v>16894</v>
      </c>
      <c r="S360" s="265">
        <f t="shared" si="299"/>
        <v>-1625.4080000000049</v>
      </c>
      <c r="T360" s="275">
        <f t="shared" si="281"/>
        <v>15268.591999999995</v>
      </c>
      <c r="U360" s="267">
        <f t="shared" si="312"/>
        <v>0</v>
      </c>
      <c r="V360" s="268">
        <f t="shared" si="312"/>
        <v>0</v>
      </c>
      <c r="W360" s="268">
        <f t="shared" si="312"/>
        <v>9711.6919999999955</v>
      </c>
      <c r="X360" s="268">
        <f t="shared" si="312"/>
        <v>5556.9</v>
      </c>
      <c r="Y360" s="268">
        <f t="shared" si="312"/>
        <v>0</v>
      </c>
      <c r="Z360" s="268">
        <f t="shared" si="312"/>
        <v>0</v>
      </c>
      <c r="AA360" s="268">
        <f t="shared" si="312"/>
        <v>0</v>
      </c>
      <c r="AB360" s="268">
        <f t="shared" si="312"/>
        <v>0</v>
      </c>
      <c r="AC360" s="269">
        <f t="shared" si="312"/>
        <v>0</v>
      </c>
      <c r="AD360" s="264">
        <f>SUM(AD361:AD361)</f>
        <v>0</v>
      </c>
      <c r="AE360" s="265">
        <f t="shared" si="292"/>
        <v>0</v>
      </c>
      <c r="AF360" s="266">
        <f t="shared" si="293"/>
        <v>0</v>
      </c>
      <c r="AG360" s="267">
        <f t="shared" si="312"/>
        <v>0</v>
      </c>
      <c r="AH360" s="268">
        <f t="shared" si="312"/>
        <v>0</v>
      </c>
      <c r="AI360" s="268">
        <f t="shared" si="312"/>
        <v>0</v>
      </c>
      <c r="AJ360" s="268">
        <f t="shared" si="312"/>
        <v>0</v>
      </c>
      <c r="AK360" s="268">
        <f t="shared" si="312"/>
        <v>0</v>
      </c>
      <c r="AL360" s="268">
        <f t="shared" si="312"/>
        <v>0</v>
      </c>
      <c r="AM360" s="268">
        <f t="shared" si="312"/>
        <v>0</v>
      </c>
      <c r="AN360" s="268">
        <f t="shared" si="312"/>
        <v>0</v>
      </c>
      <c r="AO360" s="269">
        <f t="shared" si="312"/>
        <v>0</v>
      </c>
      <c r="AP360" s="276">
        <v>17200</v>
      </c>
      <c r="AQ360" s="276">
        <v>17200</v>
      </c>
      <c r="AR360" s="277">
        <f>AQ360*100/AP360</f>
        <v>100</v>
      </c>
      <c r="AS360" s="278">
        <f t="shared" si="283"/>
        <v>1</v>
      </c>
      <c r="AT360" s="279">
        <f t="shared" si="284"/>
        <v>0.90378517880555553</v>
      </c>
      <c r="AU360" s="279">
        <f t="shared" si="285"/>
        <v>0</v>
      </c>
      <c r="AV360" s="279">
        <f t="shared" si="286"/>
        <v>0</v>
      </c>
    </row>
    <row r="361" spans="1:48" outlineLevel="1" x14ac:dyDescent="0.25">
      <c r="A361" s="4" t="s">
        <v>653</v>
      </c>
      <c r="B361" s="75" t="s">
        <v>495</v>
      </c>
      <c r="C361" s="25"/>
      <c r="D361" s="92">
        <v>1</v>
      </c>
      <c r="E361" s="110">
        <v>16894</v>
      </c>
      <c r="F361" s="93">
        <f>D361*E361</f>
        <v>16894</v>
      </c>
      <c r="G361" s="74">
        <f t="shared" si="304"/>
        <v>4.9999999999272404E-2</v>
      </c>
      <c r="H361" s="95">
        <f t="shared" si="298"/>
        <v>16894.05</v>
      </c>
      <c r="I361" s="112"/>
      <c r="J361" s="57"/>
      <c r="K361" s="57">
        <f>+(34443+41138)*0.15</f>
        <v>11337.15</v>
      </c>
      <c r="L361" s="57">
        <f>+(4515+32531)*0.15</f>
        <v>5556.9</v>
      </c>
      <c r="M361" s="57"/>
      <c r="N361" s="57"/>
      <c r="O361" s="57"/>
      <c r="P361" s="68"/>
      <c r="Q361" s="58"/>
      <c r="R361" s="93">
        <v>16894</v>
      </c>
      <c r="S361" s="74">
        <f t="shared" si="299"/>
        <v>-1625.4080000000049</v>
      </c>
      <c r="T361" s="95">
        <f t="shared" si="281"/>
        <v>15268.591999999995</v>
      </c>
      <c r="U361" s="112"/>
      <c r="V361" s="57"/>
      <c r="W361" s="57">
        <f>+(34443+41138)*0.15*0.88+64486-64751</f>
        <v>9711.6919999999955</v>
      </c>
      <c r="X361" s="57">
        <f>+(4515+32531)*0.15</f>
        <v>5556.9</v>
      </c>
      <c r="Y361" s="57"/>
      <c r="Z361" s="57"/>
      <c r="AA361" s="57"/>
      <c r="AB361" s="68"/>
      <c r="AC361" s="58"/>
      <c r="AD361" s="170">
        <f>P361*Q361</f>
        <v>0</v>
      </c>
      <c r="AE361" s="89">
        <f t="shared" si="292"/>
        <v>0</v>
      </c>
      <c r="AF361" s="216">
        <f t="shared" si="293"/>
        <v>0</v>
      </c>
      <c r="AG361" s="147"/>
      <c r="AH361" s="148"/>
      <c r="AI361" s="148"/>
      <c r="AJ361" s="148"/>
      <c r="AK361" s="148"/>
      <c r="AL361" s="148"/>
      <c r="AM361" s="148"/>
      <c r="AN361" s="149"/>
      <c r="AO361" s="150"/>
      <c r="AP361" s="76"/>
      <c r="AQ361" s="76"/>
      <c r="AR361" s="128"/>
      <c r="AS361" s="108">
        <f t="shared" si="283"/>
        <v>1</v>
      </c>
      <c r="AT361" s="249">
        <f t="shared" si="284"/>
        <v>0.90378517880555553</v>
      </c>
      <c r="AU361" s="249">
        <f t="shared" si="285"/>
        <v>0</v>
      </c>
      <c r="AV361" s="249">
        <f t="shared" si="286"/>
        <v>0</v>
      </c>
    </row>
    <row r="362" spans="1:48" s="2" customFormat="1" ht="21" x14ac:dyDescent="0.35">
      <c r="A362" s="8" t="s">
        <v>307</v>
      </c>
      <c r="B362" s="12" t="s">
        <v>282</v>
      </c>
      <c r="C362" s="21"/>
      <c r="D362" s="22"/>
      <c r="E362" s="15"/>
      <c r="F362" s="84">
        <f>F363+F368+F372+F375+F378+F381</f>
        <v>11318.2</v>
      </c>
      <c r="G362" s="89">
        <f t="shared" si="304"/>
        <v>-0.60499999999956344</v>
      </c>
      <c r="H362" s="16">
        <f t="shared" si="298"/>
        <v>11317.595000000001</v>
      </c>
      <c r="I362" s="51">
        <f t="shared" ref="I362:Q362" si="313">I363+I368+I372+I375+I378+I381</f>
        <v>750</v>
      </c>
      <c r="J362" s="51">
        <f t="shared" si="313"/>
        <v>0</v>
      </c>
      <c r="K362" s="51">
        <f t="shared" si="313"/>
        <v>2287.2550000000001</v>
      </c>
      <c r="L362" s="51">
        <f t="shared" si="313"/>
        <v>8280.34</v>
      </c>
      <c r="M362" s="51">
        <f t="shared" si="313"/>
        <v>0</v>
      </c>
      <c r="N362" s="51">
        <f t="shared" si="313"/>
        <v>0</v>
      </c>
      <c r="O362" s="51">
        <f t="shared" si="313"/>
        <v>0</v>
      </c>
      <c r="P362" s="51">
        <f t="shared" si="313"/>
        <v>0</v>
      </c>
      <c r="Q362" s="59">
        <f t="shared" si="313"/>
        <v>0</v>
      </c>
      <c r="R362" s="84">
        <f>R363+R368+R372+R375+R378+R381</f>
        <v>11318</v>
      </c>
      <c r="S362" s="89">
        <f t="shared" si="299"/>
        <v>-2287.66</v>
      </c>
      <c r="T362" s="16">
        <f t="shared" si="281"/>
        <v>9030.34</v>
      </c>
      <c r="U362" s="51">
        <f t="shared" ref="U362:AC362" si="314">U363+U368+U372+U375+U378+U381</f>
        <v>750</v>
      </c>
      <c r="V362" s="51">
        <f t="shared" si="314"/>
        <v>0</v>
      </c>
      <c r="W362" s="51">
        <f t="shared" si="314"/>
        <v>0</v>
      </c>
      <c r="X362" s="51">
        <f t="shared" si="314"/>
        <v>8280.34</v>
      </c>
      <c r="Y362" s="51">
        <f t="shared" si="314"/>
        <v>0</v>
      </c>
      <c r="Z362" s="51">
        <f t="shared" si="314"/>
        <v>0</v>
      </c>
      <c r="AA362" s="51">
        <f t="shared" si="314"/>
        <v>0</v>
      </c>
      <c r="AB362" s="51">
        <f t="shared" si="314"/>
        <v>0</v>
      </c>
      <c r="AC362" s="59">
        <f t="shared" si="314"/>
        <v>0</v>
      </c>
      <c r="AD362" s="255">
        <f>AD363+AD368+AD372+AD375+AD378+AD381</f>
        <v>2133.31</v>
      </c>
      <c r="AE362" s="256">
        <f t="shared" si="292"/>
        <v>-2133.31</v>
      </c>
      <c r="AF362" s="257">
        <f t="shared" si="293"/>
        <v>0</v>
      </c>
      <c r="AG362" s="260">
        <f t="shared" ref="AG362:AO362" si="315">AG363+AG368+AG372+AG375+AG378+AG381</f>
        <v>0</v>
      </c>
      <c r="AH362" s="260">
        <f t="shared" si="315"/>
        <v>0</v>
      </c>
      <c r="AI362" s="260">
        <f t="shared" si="315"/>
        <v>0</v>
      </c>
      <c r="AJ362" s="260">
        <f t="shared" si="315"/>
        <v>0</v>
      </c>
      <c r="AK362" s="260">
        <f t="shared" si="315"/>
        <v>0</v>
      </c>
      <c r="AL362" s="260">
        <f t="shared" si="315"/>
        <v>0</v>
      </c>
      <c r="AM362" s="260">
        <f t="shared" si="315"/>
        <v>0</v>
      </c>
      <c r="AN362" s="260">
        <f t="shared" si="315"/>
        <v>0</v>
      </c>
      <c r="AO362" s="261">
        <f t="shared" si="315"/>
        <v>0</v>
      </c>
      <c r="AP362" s="32">
        <f>+AP363+AP368+AP372+AP375+AP378+AP381</f>
        <v>14199</v>
      </c>
      <c r="AQ362" s="32">
        <f>AQ363+AQ368+AQ372+AQ375+AQ378+AQ381</f>
        <v>15832.130000000001</v>
      </c>
      <c r="AR362" s="126">
        <f>AQ362*100/AP362</f>
        <v>111.5017254736249</v>
      </c>
      <c r="AS362" s="108">
        <f t="shared" si="283"/>
        <v>0.99998232934565556</v>
      </c>
      <c r="AT362" s="249">
        <f t="shared" si="284"/>
        <v>0.79790273463575956</v>
      </c>
      <c r="AU362" s="249">
        <f t="shared" si="285"/>
        <v>0.1884849180965171</v>
      </c>
      <c r="AV362" s="249">
        <f t="shared" si="286"/>
        <v>0</v>
      </c>
    </row>
    <row r="363" spans="1:48" s="280" customFormat="1" ht="15.75" x14ac:dyDescent="0.25">
      <c r="A363" s="270" t="s">
        <v>344</v>
      </c>
      <c r="B363" s="271" t="s">
        <v>265</v>
      </c>
      <c r="C363" s="272"/>
      <c r="D363" s="273"/>
      <c r="E363" s="274"/>
      <c r="F363" s="264">
        <f>SUM(F364:F367)</f>
        <v>750</v>
      </c>
      <c r="G363" s="265">
        <f t="shared" si="304"/>
        <v>0</v>
      </c>
      <c r="H363" s="275">
        <f t="shared" si="298"/>
        <v>750</v>
      </c>
      <c r="I363" s="267">
        <f t="shared" ref="I363:Q363" si="316">SUM(I364:I367)</f>
        <v>750</v>
      </c>
      <c r="J363" s="268">
        <f t="shared" si="316"/>
        <v>0</v>
      </c>
      <c r="K363" s="268">
        <f t="shared" si="316"/>
        <v>0</v>
      </c>
      <c r="L363" s="268">
        <f t="shared" si="316"/>
        <v>0</v>
      </c>
      <c r="M363" s="268">
        <f>SUM(M364:M367)</f>
        <v>0</v>
      </c>
      <c r="N363" s="268">
        <f t="shared" si="316"/>
        <v>0</v>
      </c>
      <c r="O363" s="268">
        <f t="shared" si="316"/>
        <v>0</v>
      </c>
      <c r="P363" s="268">
        <f t="shared" si="316"/>
        <v>0</v>
      </c>
      <c r="Q363" s="269">
        <f t="shared" si="316"/>
        <v>0</v>
      </c>
      <c r="R363" s="264">
        <f>SUM(R364:R367)</f>
        <v>750</v>
      </c>
      <c r="S363" s="265">
        <f t="shared" si="299"/>
        <v>0</v>
      </c>
      <c r="T363" s="275">
        <f t="shared" si="281"/>
        <v>750</v>
      </c>
      <c r="U363" s="267">
        <f t="shared" ref="U363:AD363" si="317">SUM(U364:U367)</f>
        <v>750</v>
      </c>
      <c r="V363" s="268">
        <f t="shared" si="317"/>
        <v>0</v>
      </c>
      <c r="W363" s="268">
        <f t="shared" si="317"/>
        <v>0</v>
      </c>
      <c r="X363" s="268">
        <f t="shared" si="317"/>
        <v>0</v>
      </c>
      <c r="Y363" s="268">
        <f t="shared" si="317"/>
        <v>0</v>
      </c>
      <c r="Z363" s="268">
        <f t="shared" si="317"/>
        <v>0</v>
      </c>
      <c r="AA363" s="268">
        <f t="shared" si="317"/>
        <v>0</v>
      </c>
      <c r="AB363" s="268">
        <f t="shared" si="317"/>
        <v>0</v>
      </c>
      <c r="AC363" s="269">
        <f t="shared" si="317"/>
        <v>0</v>
      </c>
      <c r="AD363" s="264">
        <f t="shared" si="317"/>
        <v>0</v>
      </c>
      <c r="AE363" s="265">
        <f t="shared" si="292"/>
        <v>0</v>
      </c>
      <c r="AF363" s="266">
        <f t="shared" si="293"/>
        <v>0</v>
      </c>
      <c r="AG363" s="267">
        <f t="shared" ref="AG363:AO363" si="318">SUM(AG364:AG367)</f>
        <v>0</v>
      </c>
      <c r="AH363" s="268">
        <f t="shared" si="318"/>
        <v>0</v>
      </c>
      <c r="AI363" s="268">
        <f t="shared" si="318"/>
        <v>0</v>
      </c>
      <c r="AJ363" s="268">
        <f t="shared" si="318"/>
        <v>0</v>
      </c>
      <c r="AK363" s="268">
        <f t="shared" si="318"/>
        <v>0</v>
      </c>
      <c r="AL363" s="268">
        <f t="shared" si="318"/>
        <v>0</v>
      </c>
      <c r="AM363" s="268">
        <f t="shared" si="318"/>
        <v>0</v>
      </c>
      <c r="AN363" s="268">
        <f t="shared" si="318"/>
        <v>0</v>
      </c>
      <c r="AO363" s="269">
        <f t="shared" si="318"/>
        <v>0</v>
      </c>
      <c r="AP363" s="276">
        <v>500</v>
      </c>
      <c r="AQ363" s="276">
        <f>SUM(AQ364:AQ367)</f>
        <v>0</v>
      </c>
      <c r="AR363" s="277">
        <f>AQ363*100/AP363</f>
        <v>0</v>
      </c>
      <c r="AS363" s="278">
        <f t="shared" si="283"/>
        <v>1</v>
      </c>
      <c r="AT363" s="279">
        <f t="shared" si="284"/>
        <v>1</v>
      </c>
      <c r="AU363" s="279">
        <f t="shared" si="285"/>
        <v>0</v>
      </c>
      <c r="AV363" s="279">
        <f t="shared" si="286"/>
        <v>0</v>
      </c>
    </row>
    <row r="364" spans="1:48" outlineLevel="1" x14ac:dyDescent="0.25">
      <c r="A364" s="5" t="s">
        <v>345</v>
      </c>
      <c r="B364" s="75" t="s">
        <v>281</v>
      </c>
      <c r="C364" s="25"/>
      <c r="D364" s="92">
        <v>1</v>
      </c>
      <c r="E364" s="110">
        <v>200</v>
      </c>
      <c r="F364" s="93">
        <f>D364*E364</f>
        <v>200</v>
      </c>
      <c r="G364" s="74">
        <f t="shared" si="304"/>
        <v>0</v>
      </c>
      <c r="H364" s="95">
        <f t="shared" si="298"/>
        <v>200</v>
      </c>
      <c r="I364" s="112">
        <v>200</v>
      </c>
      <c r="J364" s="57"/>
      <c r="K364" s="57"/>
      <c r="L364" s="57"/>
      <c r="M364" s="57"/>
      <c r="N364" s="57"/>
      <c r="O364" s="57"/>
      <c r="P364" s="68"/>
      <c r="Q364" s="58"/>
      <c r="R364" s="93">
        <v>200</v>
      </c>
      <c r="S364" s="74">
        <f t="shared" si="299"/>
        <v>0</v>
      </c>
      <c r="T364" s="95">
        <f t="shared" si="281"/>
        <v>200</v>
      </c>
      <c r="U364" s="112">
        <v>200</v>
      </c>
      <c r="V364" s="57"/>
      <c r="W364" s="57"/>
      <c r="X364" s="57"/>
      <c r="Y364" s="57"/>
      <c r="Z364" s="57"/>
      <c r="AA364" s="57"/>
      <c r="AB364" s="68"/>
      <c r="AC364" s="58"/>
      <c r="AD364" s="170">
        <f>P364*Q364</f>
        <v>0</v>
      </c>
      <c r="AE364" s="89">
        <f t="shared" si="292"/>
        <v>0</v>
      </c>
      <c r="AF364" s="216">
        <f t="shared" si="293"/>
        <v>0</v>
      </c>
      <c r="AG364" s="147"/>
      <c r="AH364" s="148"/>
      <c r="AI364" s="148"/>
      <c r="AJ364" s="148"/>
      <c r="AK364" s="148"/>
      <c r="AL364" s="148"/>
      <c r="AM364" s="148"/>
      <c r="AN364" s="149"/>
      <c r="AO364" s="150"/>
      <c r="AP364" s="76"/>
      <c r="AQ364" s="76"/>
      <c r="AR364" s="128"/>
      <c r="AS364" s="108">
        <f t="shared" si="283"/>
        <v>1</v>
      </c>
      <c r="AT364" s="249">
        <f t="shared" si="284"/>
        <v>1</v>
      </c>
      <c r="AU364" s="249">
        <f t="shared" si="285"/>
        <v>0</v>
      </c>
      <c r="AV364" s="249">
        <f t="shared" si="286"/>
        <v>0</v>
      </c>
    </row>
    <row r="365" spans="1:48" outlineLevel="1" x14ac:dyDescent="0.25">
      <c r="A365" s="4" t="s">
        <v>346</v>
      </c>
      <c r="B365" s="75" t="s">
        <v>309</v>
      </c>
      <c r="C365" s="25"/>
      <c r="D365" s="92">
        <v>4</v>
      </c>
      <c r="E365" s="110">
        <v>100</v>
      </c>
      <c r="F365" s="93">
        <f>D365*E365</f>
        <v>400</v>
      </c>
      <c r="G365" s="74">
        <f t="shared" si="304"/>
        <v>0</v>
      </c>
      <c r="H365" s="95">
        <f t="shared" si="298"/>
        <v>400</v>
      </c>
      <c r="I365" s="112">
        <v>400</v>
      </c>
      <c r="J365" s="57"/>
      <c r="K365" s="57"/>
      <c r="L365" s="57"/>
      <c r="M365" s="57"/>
      <c r="N365" s="57"/>
      <c r="O365" s="57"/>
      <c r="P365" s="68"/>
      <c r="Q365" s="58"/>
      <c r="R365" s="93">
        <v>400</v>
      </c>
      <c r="S365" s="74">
        <f t="shared" si="299"/>
        <v>0</v>
      </c>
      <c r="T365" s="95">
        <f t="shared" si="281"/>
        <v>400</v>
      </c>
      <c r="U365" s="112">
        <v>400</v>
      </c>
      <c r="V365" s="57"/>
      <c r="W365" s="57"/>
      <c r="X365" s="57"/>
      <c r="Y365" s="57"/>
      <c r="Z365" s="57"/>
      <c r="AA365" s="57"/>
      <c r="AB365" s="68"/>
      <c r="AC365" s="58"/>
      <c r="AD365" s="170">
        <f>P365*Q365</f>
        <v>0</v>
      </c>
      <c r="AE365" s="89">
        <f t="shared" si="292"/>
        <v>0</v>
      </c>
      <c r="AF365" s="216">
        <f t="shared" si="293"/>
        <v>0</v>
      </c>
      <c r="AG365" s="147"/>
      <c r="AH365" s="148"/>
      <c r="AI365" s="148"/>
      <c r="AJ365" s="148"/>
      <c r="AK365" s="148"/>
      <c r="AL365" s="148"/>
      <c r="AM365" s="148"/>
      <c r="AN365" s="149"/>
      <c r="AO365" s="150"/>
      <c r="AP365" s="76"/>
      <c r="AQ365" s="76"/>
      <c r="AR365" s="128"/>
      <c r="AS365" s="108">
        <f t="shared" si="283"/>
        <v>1</v>
      </c>
      <c r="AT365" s="249">
        <f t="shared" si="284"/>
        <v>1</v>
      </c>
      <c r="AU365" s="249">
        <f t="shared" si="285"/>
        <v>0</v>
      </c>
      <c r="AV365" s="249">
        <f t="shared" si="286"/>
        <v>0</v>
      </c>
    </row>
    <row r="366" spans="1:48" outlineLevel="1" x14ac:dyDescent="0.25">
      <c r="A366" s="4" t="s">
        <v>347</v>
      </c>
      <c r="B366" s="75" t="s">
        <v>285</v>
      </c>
      <c r="C366" s="25"/>
      <c r="D366" s="92">
        <v>3</v>
      </c>
      <c r="E366" s="110">
        <v>50</v>
      </c>
      <c r="F366" s="93">
        <f>D366*E366</f>
        <v>150</v>
      </c>
      <c r="G366" s="74">
        <f t="shared" si="304"/>
        <v>0</v>
      </c>
      <c r="H366" s="95">
        <f t="shared" si="298"/>
        <v>150</v>
      </c>
      <c r="I366" s="112">
        <v>150</v>
      </c>
      <c r="J366" s="57"/>
      <c r="K366" s="57"/>
      <c r="L366" s="57"/>
      <c r="M366" s="57"/>
      <c r="N366" s="57"/>
      <c r="O366" s="57"/>
      <c r="P366" s="68"/>
      <c r="Q366" s="58"/>
      <c r="R366" s="93">
        <v>150</v>
      </c>
      <c r="S366" s="74">
        <f t="shared" si="299"/>
        <v>0</v>
      </c>
      <c r="T366" s="95">
        <f t="shared" si="281"/>
        <v>150</v>
      </c>
      <c r="U366" s="112">
        <v>150</v>
      </c>
      <c r="V366" s="57"/>
      <c r="W366" s="57"/>
      <c r="X366" s="57"/>
      <c r="Y366" s="57"/>
      <c r="Z366" s="57"/>
      <c r="AA366" s="57"/>
      <c r="AB366" s="68"/>
      <c r="AC366" s="58"/>
      <c r="AD366" s="170">
        <f>P366*Q366</f>
        <v>0</v>
      </c>
      <c r="AE366" s="89">
        <f t="shared" si="292"/>
        <v>0</v>
      </c>
      <c r="AF366" s="216">
        <f t="shared" si="293"/>
        <v>0</v>
      </c>
      <c r="AG366" s="147"/>
      <c r="AH366" s="148"/>
      <c r="AI366" s="148"/>
      <c r="AJ366" s="148"/>
      <c r="AK366" s="148"/>
      <c r="AL366" s="148"/>
      <c r="AM366" s="148"/>
      <c r="AN366" s="149"/>
      <c r="AO366" s="150"/>
      <c r="AP366" s="76"/>
      <c r="AQ366" s="76"/>
      <c r="AR366" s="128"/>
      <c r="AS366" s="108">
        <f t="shared" si="283"/>
        <v>1</v>
      </c>
      <c r="AT366" s="249">
        <f t="shared" si="284"/>
        <v>1</v>
      </c>
      <c r="AU366" s="249">
        <f t="shared" si="285"/>
        <v>0</v>
      </c>
      <c r="AV366" s="249">
        <f t="shared" si="286"/>
        <v>0</v>
      </c>
    </row>
    <row r="367" spans="1:48" outlineLevel="1" x14ac:dyDescent="0.25">
      <c r="A367" s="4" t="s">
        <v>1108</v>
      </c>
      <c r="B367" s="75" t="s">
        <v>47</v>
      </c>
      <c r="C367" s="25"/>
      <c r="D367" s="92">
        <v>0</v>
      </c>
      <c r="E367" s="110">
        <v>0</v>
      </c>
      <c r="F367" s="93">
        <f>D367*E367</f>
        <v>0</v>
      </c>
      <c r="G367" s="74">
        <f t="shared" si="304"/>
        <v>0</v>
      </c>
      <c r="H367" s="95">
        <f t="shared" si="298"/>
        <v>0</v>
      </c>
      <c r="I367" s="112">
        <f>F367</f>
        <v>0</v>
      </c>
      <c r="J367" s="57"/>
      <c r="K367" s="57"/>
      <c r="L367" s="57"/>
      <c r="M367" s="57"/>
      <c r="N367" s="57"/>
      <c r="O367" s="57"/>
      <c r="P367" s="68"/>
      <c r="Q367" s="58"/>
      <c r="R367" s="93">
        <f>P367*Q367</f>
        <v>0</v>
      </c>
      <c r="S367" s="74">
        <f t="shared" si="299"/>
        <v>0</v>
      </c>
      <c r="T367" s="95">
        <f t="shared" si="281"/>
        <v>0</v>
      </c>
      <c r="U367" s="112">
        <f>R367</f>
        <v>0</v>
      </c>
      <c r="V367" s="57"/>
      <c r="W367" s="57"/>
      <c r="X367" s="57"/>
      <c r="Y367" s="57"/>
      <c r="Z367" s="57"/>
      <c r="AA367" s="57"/>
      <c r="AB367" s="68"/>
      <c r="AC367" s="58"/>
      <c r="AD367" s="170">
        <f>P367*Q367</f>
        <v>0</v>
      </c>
      <c r="AE367" s="89">
        <f t="shared" si="292"/>
        <v>0</v>
      </c>
      <c r="AF367" s="216">
        <f t="shared" si="293"/>
        <v>0</v>
      </c>
      <c r="AG367" s="147"/>
      <c r="AH367" s="148"/>
      <c r="AI367" s="148"/>
      <c r="AJ367" s="148"/>
      <c r="AK367" s="148"/>
      <c r="AL367" s="148"/>
      <c r="AM367" s="148"/>
      <c r="AN367" s="149"/>
      <c r="AO367" s="150"/>
      <c r="AP367" s="76"/>
      <c r="AQ367" s="76"/>
      <c r="AR367" s="128"/>
      <c r="AS367" s="108"/>
      <c r="AT367" s="249"/>
      <c r="AU367" s="249"/>
      <c r="AV367" s="249"/>
    </row>
    <row r="368" spans="1:48" s="280" customFormat="1" ht="15.75" x14ac:dyDescent="0.25">
      <c r="A368" s="270" t="s">
        <v>349</v>
      </c>
      <c r="B368" s="271" t="s">
        <v>248</v>
      </c>
      <c r="C368" s="272"/>
      <c r="D368" s="273"/>
      <c r="E368" s="274"/>
      <c r="F368" s="264">
        <f>SUM(F369:F371)</f>
        <v>0</v>
      </c>
      <c r="G368" s="265">
        <f t="shared" si="304"/>
        <v>0</v>
      </c>
      <c r="H368" s="275">
        <f t="shared" si="298"/>
        <v>0</v>
      </c>
      <c r="I368" s="267">
        <f t="shared" ref="I368:Q368" si="319">SUM(I369:I371)</f>
        <v>0</v>
      </c>
      <c r="J368" s="268">
        <f t="shared" si="319"/>
        <v>0</v>
      </c>
      <c r="K368" s="268">
        <f t="shared" si="319"/>
        <v>0</v>
      </c>
      <c r="L368" s="268">
        <f t="shared" si="319"/>
        <v>0</v>
      </c>
      <c r="M368" s="268">
        <f t="shared" si="319"/>
        <v>0</v>
      </c>
      <c r="N368" s="268">
        <f t="shared" si="319"/>
        <v>0</v>
      </c>
      <c r="O368" s="268">
        <f t="shared" si="319"/>
        <v>0</v>
      </c>
      <c r="P368" s="268">
        <f t="shared" si="319"/>
        <v>0</v>
      </c>
      <c r="Q368" s="269">
        <f t="shared" si="319"/>
        <v>0</v>
      </c>
      <c r="R368" s="264">
        <f>SUM(R369:R371)</f>
        <v>0</v>
      </c>
      <c r="S368" s="265">
        <f t="shared" si="299"/>
        <v>0</v>
      </c>
      <c r="T368" s="275">
        <f t="shared" si="281"/>
        <v>0</v>
      </c>
      <c r="U368" s="267">
        <f t="shared" ref="U368:AC368" si="320">SUM(U369:U371)</f>
        <v>0</v>
      </c>
      <c r="V368" s="268">
        <f t="shared" si="320"/>
        <v>0</v>
      </c>
      <c r="W368" s="268">
        <f t="shared" si="320"/>
        <v>0</v>
      </c>
      <c r="X368" s="268">
        <f t="shared" si="320"/>
        <v>0</v>
      </c>
      <c r="Y368" s="268">
        <f t="shared" si="320"/>
        <v>0</v>
      </c>
      <c r="Z368" s="268">
        <f t="shared" si="320"/>
        <v>0</v>
      </c>
      <c r="AA368" s="268">
        <f t="shared" si="320"/>
        <v>0</v>
      </c>
      <c r="AB368" s="268">
        <f t="shared" si="320"/>
        <v>0</v>
      </c>
      <c r="AC368" s="269">
        <f t="shared" si="320"/>
        <v>0</v>
      </c>
      <c r="AD368" s="264">
        <f>SUM(AD369:AD371)</f>
        <v>0</v>
      </c>
      <c r="AE368" s="265">
        <f t="shared" si="292"/>
        <v>0</v>
      </c>
      <c r="AF368" s="266">
        <f t="shared" si="293"/>
        <v>0</v>
      </c>
      <c r="AG368" s="267">
        <f t="shared" ref="AG368:AO368" si="321">SUM(AG369:AG371)</f>
        <v>0</v>
      </c>
      <c r="AH368" s="268">
        <f t="shared" si="321"/>
        <v>0</v>
      </c>
      <c r="AI368" s="268">
        <f t="shared" si="321"/>
        <v>0</v>
      </c>
      <c r="AJ368" s="268">
        <f t="shared" si="321"/>
        <v>0</v>
      </c>
      <c r="AK368" s="268">
        <f t="shared" si="321"/>
        <v>0</v>
      </c>
      <c r="AL368" s="268">
        <f t="shared" si="321"/>
        <v>0</v>
      </c>
      <c r="AM368" s="268">
        <f t="shared" si="321"/>
        <v>0</v>
      </c>
      <c r="AN368" s="268">
        <f t="shared" si="321"/>
        <v>0</v>
      </c>
      <c r="AO368" s="269">
        <f t="shared" si="321"/>
        <v>0</v>
      </c>
      <c r="AP368" s="276">
        <v>0</v>
      </c>
      <c r="AQ368" s="276">
        <f>SUM(AQ369:AQ371)</f>
        <v>0</v>
      </c>
      <c r="AR368" s="277"/>
      <c r="AS368" s="278"/>
      <c r="AT368" s="279"/>
      <c r="AU368" s="279"/>
      <c r="AV368" s="279"/>
    </row>
    <row r="369" spans="1:48" outlineLevel="1" x14ac:dyDescent="0.25">
      <c r="A369" s="4" t="s">
        <v>350</v>
      </c>
      <c r="B369" s="75" t="s">
        <v>287</v>
      </c>
      <c r="C369" s="25"/>
      <c r="D369" s="92"/>
      <c r="E369" s="110"/>
      <c r="F369" s="93">
        <f>D369*E369</f>
        <v>0</v>
      </c>
      <c r="G369" s="74">
        <f t="shared" si="304"/>
        <v>0</v>
      </c>
      <c r="H369" s="95">
        <f t="shared" si="298"/>
        <v>0</v>
      </c>
      <c r="I369" s="112"/>
      <c r="J369" s="57"/>
      <c r="K369" s="57"/>
      <c r="L369" s="57"/>
      <c r="M369" s="57"/>
      <c r="N369" s="57"/>
      <c r="O369" s="57"/>
      <c r="P369" s="68"/>
      <c r="Q369" s="58"/>
      <c r="R369" s="93">
        <f>P369*Q369</f>
        <v>0</v>
      </c>
      <c r="S369" s="74">
        <f t="shared" si="299"/>
        <v>0</v>
      </c>
      <c r="T369" s="95">
        <f t="shared" si="281"/>
        <v>0</v>
      </c>
      <c r="U369" s="112"/>
      <c r="V369" s="57"/>
      <c r="W369" s="57"/>
      <c r="X369" s="57"/>
      <c r="Y369" s="57"/>
      <c r="Z369" s="57"/>
      <c r="AA369" s="57"/>
      <c r="AB369" s="68"/>
      <c r="AC369" s="58"/>
      <c r="AD369" s="170">
        <f>P369*Q369</f>
        <v>0</v>
      </c>
      <c r="AE369" s="89">
        <f t="shared" si="292"/>
        <v>0</v>
      </c>
      <c r="AF369" s="216">
        <f t="shared" si="293"/>
        <v>0</v>
      </c>
      <c r="AG369" s="147"/>
      <c r="AH369" s="148"/>
      <c r="AI369" s="148"/>
      <c r="AJ369" s="148"/>
      <c r="AK369" s="148"/>
      <c r="AL369" s="148"/>
      <c r="AM369" s="148"/>
      <c r="AN369" s="149"/>
      <c r="AO369" s="150"/>
      <c r="AP369" s="76"/>
      <c r="AQ369" s="76"/>
      <c r="AR369" s="128"/>
      <c r="AS369" s="108"/>
      <c r="AT369" s="249"/>
      <c r="AU369" s="249"/>
      <c r="AV369" s="249"/>
    </row>
    <row r="370" spans="1:48" outlineLevel="1" x14ac:dyDescent="0.25">
      <c r="A370" s="4" t="s">
        <v>351</v>
      </c>
      <c r="B370" s="75" t="s">
        <v>288</v>
      </c>
      <c r="C370" s="25"/>
      <c r="D370" s="92"/>
      <c r="E370" s="110"/>
      <c r="F370" s="93">
        <f>D370*E370</f>
        <v>0</v>
      </c>
      <c r="G370" s="74">
        <f t="shared" si="304"/>
        <v>0</v>
      </c>
      <c r="H370" s="95">
        <f t="shared" si="298"/>
        <v>0</v>
      </c>
      <c r="I370" s="112"/>
      <c r="J370" s="57"/>
      <c r="K370" s="57"/>
      <c r="L370" s="57"/>
      <c r="M370" s="57"/>
      <c r="N370" s="57"/>
      <c r="O370" s="57"/>
      <c r="P370" s="68"/>
      <c r="Q370" s="58"/>
      <c r="R370" s="93">
        <f>P370*Q370</f>
        <v>0</v>
      </c>
      <c r="S370" s="74">
        <f t="shared" si="299"/>
        <v>0</v>
      </c>
      <c r="T370" s="95">
        <f t="shared" si="281"/>
        <v>0</v>
      </c>
      <c r="U370" s="112"/>
      <c r="V370" s="57"/>
      <c r="W370" s="57"/>
      <c r="X370" s="57"/>
      <c r="Y370" s="57"/>
      <c r="Z370" s="57"/>
      <c r="AA370" s="57"/>
      <c r="AB370" s="68"/>
      <c r="AC370" s="58"/>
      <c r="AD370" s="170">
        <f>P370*Q370</f>
        <v>0</v>
      </c>
      <c r="AE370" s="89">
        <f t="shared" si="292"/>
        <v>0</v>
      </c>
      <c r="AF370" s="216">
        <f t="shared" si="293"/>
        <v>0</v>
      </c>
      <c r="AG370" s="147"/>
      <c r="AH370" s="148"/>
      <c r="AI370" s="148"/>
      <c r="AJ370" s="148"/>
      <c r="AK370" s="148"/>
      <c r="AL370" s="148"/>
      <c r="AM370" s="148"/>
      <c r="AN370" s="149"/>
      <c r="AO370" s="150"/>
      <c r="AP370" s="76"/>
      <c r="AQ370" s="76"/>
      <c r="AR370" s="128"/>
      <c r="AS370" s="108"/>
      <c r="AT370" s="249"/>
      <c r="AU370" s="249"/>
      <c r="AV370" s="249"/>
    </row>
    <row r="371" spans="1:48" outlineLevel="1" x14ac:dyDescent="0.25">
      <c r="A371" s="4" t="s">
        <v>1109</v>
      </c>
      <c r="B371" s="75" t="s">
        <v>47</v>
      </c>
      <c r="C371" s="25"/>
      <c r="D371" s="92"/>
      <c r="E371" s="110"/>
      <c r="F371" s="93">
        <f>D371*E371</f>
        <v>0</v>
      </c>
      <c r="G371" s="74">
        <f t="shared" si="304"/>
        <v>0</v>
      </c>
      <c r="H371" s="95">
        <f t="shared" si="298"/>
        <v>0</v>
      </c>
      <c r="I371" s="112"/>
      <c r="J371" s="57"/>
      <c r="K371" s="57"/>
      <c r="L371" s="57"/>
      <c r="M371" s="57"/>
      <c r="N371" s="57"/>
      <c r="O371" s="57"/>
      <c r="P371" s="68"/>
      <c r="Q371" s="58"/>
      <c r="R371" s="93">
        <f>P371*Q371</f>
        <v>0</v>
      </c>
      <c r="S371" s="74">
        <f t="shared" si="299"/>
        <v>0</v>
      </c>
      <c r="T371" s="95">
        <f t="shared" si="281"/>
        <v>0</v>
      </c>
      <c r="U371" s="112"/>
      <c r="V371" s="57"/>
      <c r="W371" s="57"/>
      <c r="X371" s="57"/>
      <c r="Y371" s="57"/>
      <c r="Z371" s="57"/>
      <c r="AA371" s="57"/>
      <c r="AB371" s="68"/>
      <c r="AC371" s="58"/>
      <c r="AD371" s="170">
        <f>P371*Q371</f>
        <v>0</v>
      </c>
      <c r="AE371" s="89">
        <f t="shared" si="292"/>
        <v>0</v>
      </c>
      <c r="AF371" s="216">
        <f t="shared" si="293"/>
        <v>0</v>
      </c>
      <c r="AG371" s="147"/>
      <c r="AH371" s="148"/>
      <c r="AI371" s="148"/>
      <c r="AJ371" s="148"/>
      <c r="AK371" s="148"/>
      <c r="AL371" s="148"/>
      <c r="AM371" s="148"/>
      <c r="AN371" s="149"/>
      <c r="AO371" s="150"/>
      <c r="AP371" s="76"/>
      <c r="AQ371" s="76"/>
      <c r="AR371" s="128"/>
      <c r="AS371" s="108"/>
      <c r="AT371" s="249"/>
      <c r="AU371" s="249"/>
      <c r="AV371" s="249"/>
    </row>
    <row r="372" spans="1:48" s="280" customFormat="1" ht="15.75" x14ac:dyDescent="0.25">
      <c r="A372" s="270" t="s">
        <v>353</v>
      </c>
      <c r="B372" s="271" t="s">
        <v>700</v>
      </c>
      <c r="C372" s="272"/>
      <c r="D372" s="273"/>
      <c r="E372" s="274"/>
      <c r="F372" s="264">
        <f>SUM(F373:F374)</f>
        <v>5601</v>
      </c>
      <c r="G372" s="265">
        <f t="shared" si="304"/>
        <v>-0.125</v>
      </c>
      <c r="H372" s="275">
        <f t="shared" si="298"/>
        <v>5600.875</v>
      </c>
      <c r="I372" s="267">
        <f t="shared" ref="I372:Q372" si="322">SUM(I373:I374)</f>
        <v>0</v>
      </c>
      <c r="J372" s="268">
        <f t="shared" si="322"/>
        <v>0</v>
      </c>
      <c r="K372" s="268">
        <f t="shared" si="322"/>
        <v>1869.2049999999999</v>
      </c>
      <c r="L372" s="268">
        <f t="shared" si="322"/>
        <v>3731.6699999999996</v>
      </c>
      <c r="M372" s="268">
        <f t="shared" si="322"/>
        <v>0</v>
      </c>
      <c r="N372" s="268">
        <f t="shared" si="322"/>
        <v>0</v>
      </c>
      <c r="O372" s="268">
        <f t="shared" si="322"/>
        <v>0</v>
      </c>
      <c r="P372" s="268">
        <f t="shared" si="322"/>
        <v>0</v>
      </c>
      <c r="Q372" s="269">
        <f t="shared" si="322"/>
        <v>0</v>
      </c>
      <c r="R372" s="264">
        <f>SUM(R373:R374)</f>
        <v>5601</v>
      </c>
      <c r="S372" s="265">
        <f t="shared" si="299"/>
        <v>-1869.3300000000004</v>
      </c>
      <c r="T372" s="275">
        <f t="shared" si="281"/>
        <v>3731.6699999999996</v>
      </c>
      <c r="U372" s="267">
        <f t="shared" ref="U372:AC372" si="323">SUM(U373:U374)</f>
        <v>0</v>
      </c>
      <c r="V372" s="268">
        <f t="shared" si="323"/>
        <v>0</v>
      </c>
      <c r="W372" s="268">
        <f t="shared" si="323"/>
        <v>0</v>
      </c>
      <c r="X372" s="268">
        <f t="shared" si="323"/>
        <v>3731.6699999999996</v>
      </c>
      <c r="Y372" s="268">
        <f t="shared" si="323"/>
        <v>0</v>
      </c>
      <c r="Z372" s="268">
        <f t="shared" si="323"/>
        <v>0</v>
      </c>
      <c r="AA372" s="268">
        <f t="shared" si="323"/>
        <v>0</v>
      </c>
      <c r="AB372" s="268">
        <f t="shared" si="323"/>
        <v>0</v>
      </c>
      <c r="AC372" s="269">
        <f t="shared" si="323"/>
        <v>0</v>
      </c>
      <c r="AD372" s="264">
        <f>SUM(AD373:AD374)</f>
        <v>522.23</v>
      </c>
      <c r="AE372" s="265">
        <f t="shared" si="292"/>
        <v>-522.23</v>
      </c>
      <c r="AF372" s="266">
        <f t="shared" si="293"/>
        <v>0</v>
      </c>
      <c r="AG372" s="267">
        <f t="shared" ref="AG372:AO372" si="324">SUM(AG373:AG374)</f>
        <v>0</v>
      </c>
      <c r="AH372" s="268">
        <f t="shared" si="324"/>
        <v>0</v>
      </c>
      <c r="AI372" s="268">
        <f t="shared" si="324"/>
        <v>0</v>
      </c>
      <c r="AJ372" s="268">
        <f t="shared" si="324"/>
        <v>0</v>
      </c>
      <c r="AK372" s="268">
        <f t="shared" si="324"/>
        <v>0</v>
      </c>
      <c r="AL372" s="268">
        <f t="shared" si="324"/>
        <v>0</v>
      </c>
      <c r="AM372" s="268">
        <f t="shared" si="324"/>
        <v>0</v>
      </c>
      <c r="AN372" s="268">
        <f t="shared" si="324"/>
        <v>0</v>
      </c>
      <c r="AO372" s="269">
        <f t="shared" si="324"/>
        <v>0</v>
      </c>
      <c r="AP372" s="276">
        <v>7160</v>
      </c>
      <c r="AQ372" s="276">
        <f>10148.6-1821.8+650</f>
        <v>8976.8000000000011</v>
      </c>
      <c r="AR372" s="277">
        <f>AQ372*100/AP372</f>
        <v>125.37430167597768</v>
      </c>
      <c r="AS372" s="278">
        <f t="shared" si="283"/>
        <v>1</v>
      </c>
      <c r="AT372" s="279">
        <f t="shared" si="284"/>
        <v>0.66626553886669482</v>
      </c>
      <c r="AU372" s="279">
        <f t="shared" si="285"/>
        <v>9.3238707373683269E-2</v>
      </c>
      <c r="AV372" s="279">
        <f t="shared" si="286"/>
        <v>0</v>
      </c>
    </row>
    <row r="373" spans="1:48" outlineLevel="1" x14ac:dyDescent="0.25">
      <c r="A373" s="4" t="s">
        <v>354</v>
      </c>
      <c r="B373" s="75" t="s">
        <v>862</v>
      </c>
      <c r="C373" s="25"/>
      <c r="D373" s="92">
        <v>1</v>
      </c>
      <c r="E373" s="110">
        <f>6101-500</f>
        <v>5601</v>
      </c>
      <c r="F373" s="93">
        <f>D373*E373</f>
        <v>5601</v>
      </c>
      <c r="G373" s="74">
        <f t="shared" si="304"/>
        <v>-0.125</v>
      </c>
      <c r="H373" s="95">
        <f t="shared" si="298"/>
        <v>5600.875</v>
      </c>
      <c r="I373" s="112"/>
      <c r="J373" s="57"/>
      <c r="K373" s="57">
        <f>2934*0.95*0.85-500</f>
        <v>1869.2049999999999</v>
      </c>
      <c r="L373" s="57">
        <f>4878*0.9*0.85</f>
        <v>3731.6699999999996</v>
      </c>
      <c r="M373" s="57"/>
      <c r="N373" s="57"/>
      <c r="O373" s="57"/>
      <c r="P373" s="68"/>
      <c r="Q373" s="58"/>
      <c r="R373" s="93">
        <v>5601</v>
      </c>
      <c r="S373" s="74">
        <f t="shared" si="299"/>
        <v>-1869.3300000000004</v>
      </c>
      <c r="T373" s="95">
        <f t="shared" si="281"/>
        <v>3731.6699999999996</v>
      </c>
      <c r="U373" s="112"/>
      <c r="V373" s="57"/>
      <c r="W373" s="57"/>
      <c r="X373" s="57">
        <f>4878*0.9*0.85</f>
        <v>3731.6699999999996</v>
      </c>
      <c r="Y373" s="57"/>
      <c r="Z373" s="57"/>
      <c r="AA373" s="57"/>
      <c r="AB373" s="68"/>
      <c r="AC373" s="58"/>
      <c r="AD373" s="170">
        <v>522.23</v>
      </c>
      <c r="AE373" s="89">
        <f t="shared" si="292"/>
        <v>-522.23</v>
      </c>
      <c r="AF373" s="216">
        <f t="shared" si="293"/>
        <v>0</v>
      </c>
      <c r="AG373" s="147"/>
      <c r="AH373" s="148"/>
      <c r="AI373" s="148"/>
      <c r="AJ373" s="148"/>
      <c r="AK373" s="148"/>
      <c r="AL373" s="148"/>
      <c r="AM373" s="148"/>
      <c r="AN373" s="149"/>
      <c r="AO373" s="150"/>
      <c r="AP373" s="76"/>
      <c r="AQ373" s="76"/>
      <c r="AR373" s="128"/>
      <c r="AS373" s="108">
        <f t="shared" si="283"/>
        <v>1</v>
      </c>
      <c r="AT373" s="249">
        <f t="shared" si="284"/>
        <v>0.66626553886669482</v>
      </c>
      <c r="AU373" s="249">
        <f t="shared" si="285"/>
        <v>9.3238707373683269E-2</v>
      </c>
      <c r="AV373" s="249">
        <f t="shared" si="286"/>
        <v>0</v>
      </c>
    </row>
    <row r="374" spans="1:48" outlineLevel="1" x14ac:dyDescent="0.25">
      <c r="A374" s="4" t="s">
        <v>1110</v>
      </c>
      <c r="B374" s="75" t="s">
        <v>47</v>
      </c>
      <c r="C374" s="25"/>
      <c r="D374" s="92"/>
      <c r="E374" s="110"/>
      <c r="F374" s="93">
        <f>D374*E374</f>
        <v>0</v>
      </c>
      <c r="G374" s="74">
        <f t="shared" si="304"/>
        <v>0</v>
      </c>
      <c r="H374" s="95">
        <f t="shared" si="298"/>
        <v>0</v>
      </c>
      <c r="I374" s="112"/>
      <c r="J374" s="57"/>
      <c r="K374" s="57"/>
      <c r="L374" s="57"/>
      <c r="M374" s="57"/>
      <c r="N374" s="57"/>
      <c r="O374" s="57"/>
      <c r="P374" s="68"/>
      <c r="Q374" s="58"/>
      <c r="R374" s="93">
        <f>P374*Q374</f>
        <v>0</v>
      </c>
      <c r="S374" s="74">
        <f t="shared" si="299"/>
        <v>0</v>
      </c>
      <c r="T374" s="95">
        <f t="shared" si="281"/>
        <v>0</v>
      </c>
      <c r="U374" s="112"/>
      <c r="V374" s="57"/>
      <c r="W374" s="57"/>
      <c r="X374" s="57"/>
      <c r="Y374" s="57"/>
      <c r="Z374" s="57"/>
      <c r="AA374" s="57"/>
      <c r="AB374" s="68"/>
      <c r="AC374" s="58"/>
      <c r="AD374" s="170">
        <f>P374*Q374</f>
        <v>0</v>
      </c>
      <c r="AE374" s="89">
        <f t="shared" si="292"/>
        <v>0</v>
      </c>
      <c r="AF374" s="216">
        <f t="shared" si="293"/>
        <v>0</v>
      </c>
      <c r="AG374" s="147"/>
      <c r="AH374" s="148"/>
      <c r="AI374" s="148"/>
      <c r="AJ374" s="148"/>
      <c r="AK374" s="148"/>
      <c r="AL374" s="148"/>
      <c r="AM374" s="148"/>
      <c r="AN374" s="149"/>
      <c r="AO374" s="150"/>
      <c r="AP374" s="76"/>
      <c r="AQ374" s="76"/>
      <c r="AR374" s="128"/>
      <c r="AS374" s="108"/>
      <c r="AT374" s="249"/>
      <c r="AU374" s="249"/>
      <c r="AV374" s="249"/>
    </row>
    <row r="375" spans="1:48" s="280" customFormat="1" ht="15.75" x14ac:dyDescent="0.25">
      <c r="A375" s="270" t="s">
        <v>356</v>
      </c>
      <c r="B375" s="271" t="s">
        <v>701</v>
      </c>
      <c r="C375" s="272"/>
      <c r="D375" s="273"/>
      <c r="E375" s="274"/>
      <c r="F375" s="264">
        <f>SUM(F376:F377)</f>
        <v>3232</v>
      </c>
      <c r="G375" s="265">
        <f t="shared" si="304"/>
        <v>-0.33000000000038199</v>
      </c>
      <c r="H375" s="275">
        <f t="shared" si="298"/>
        <v>3231.6699999999996</v>
      </c>
      <c r="I375" s="267">
        <f t="shared" ref="I375:Q375" si="325">SUM(I376:I377)</f>
        <v>0</v>
      </c>
      <c r="J375" s="268">
        <f t="shared" si="325"/>
        <v>0</v>
      </c>
      <c r="K375" s="268">
        <f t="shared" si="325"/>
        <v>0</v>
      </c>
      <c r="L375" s="268">
        <f t="shared" si="325"/>
        <v>3231.6699999999996</v>
      </c>
      <c r="M375" s="268">
        <f t="shared" si="325"/>
        <v>0</v>
      </c>
      <c r="N375" s="268">
        <f t="shared" si="325"/>
        <v>0</v>
      </c>
      <c r="O375" s="268">
        <f t="shared" si="325"/>
        <v>0</v>
      </c>
      <c r="P375" s="268">
        <f t="shared" si="325"/>
        <v>0</v>
      </c>
      <c r="Q375" s="269">
        <f t="shared" si="325"/>
        <v>0</v>
      </c>
      <c r="R375" s="264">
        <f>SUM(R376:R377)</f>
        <v>3232</v>
      </c>
      <c r="S375" s="265">
        <f t="shared" si="299"/>
        <v>-0.33000000000038199</v>
      </c>
      <c r="T375" s="275">
        <f t="shared" si="281"/>
        <v>3231.6699999999996</v>
      </c>
      <c r="U375" s="267">
        <f t="shared" ref="U375:AC375" si="326">SUM(U376:U377)</f>
        <v>0</v>
      </c>
      <c r="V375" s="268">
        <f t="shared" si="326"/>
        <v>0</v>
      </c>
      <c r="W375" s="268">
        <f t="shared" si="326"/>
        <v>0</v>
      </c>
      <c r="X375" s="268">
        <f t="shared" si="326"/>
        <v>3231.6699999999996</v>
      </c>
      <c r="Y375" s="268">
        <f t="shared" si="326"/>
        <v>0</v>
      </c>
      <c r="Z375" s="268">
        <f t="shared" si="326"/>
        <v>0</v>
      </c>
      <c r="AA375" s="268">
        <f t="shared" si="326"/>
        <v>0</v>
      </c>
      <c r="AB375" s="268">
        <f t="shared" si="326"/>
        <v>0</v>
      </c>
      <c r="AC375" s="269">
        <f t="shared" si="326"/>
        <v>0</v>
      </c>
      <c r="AD375" s="264">
        <f>SUM(AD376:AD377)</f>
        <v>1492.5</v>
      </c>
      <c r="AE375" s="265">
        <f t="shared" si="292"/>
        <v>-1492.5</v>
      </c>
      <c r="AF375" s="266">
        <f t="shared" si="293"/>
        <v>0</v>
      </c>
      <c r="AG375" s="267">
        <f t="shared" ref="AG375:AO375" si="327">SUM(AG376:AG377)</f>
        <v>0</v>
      </c>
      <c r="AH375" s="268">
        <f t="shared" si="327"/>
        <v>0</v>
      </c>
      <c r="AI375" s="268">
        <f t="shared" si="327"/>
        <v>0</v>
      </c>
      <c r="AJ375" s="268">
        <f t="shared" si="327"/>
        <v>0</v>
      </c>
      <c r="AK375" s="268">
        <f t="shared" si="327"/>
        <v>0</v>
      </c>
      <c r="AL375" s="268">
        <f t="shared" si="327"/>
        <v>0</v>
      </c>
      <c r="AM375" s="268">
        <f t="shared" si="327"/>
        <v>0</v>
      </c>
      <c r="AN375" s="268">
        <f t="shared" si="327"/>
        <v>0</v>
      </c>
      <c r="AO375" s="269">
        <f t="shared" si="327"/>
        <v>0</v>
      </c>
      <c r="AP375" s="276">
        <v>4635</v>
      </c>
      <c r="AQ375" s="276">
        <f>5683.53-731.71</f>
        <v>4951.82</v>
      </c>
      <c r="AR375" s="277">
        <f>AQ375*100/AP375</f>
        <v>106.83538295577131</v>
      </c>
      <c r="AS375" s="278">
        <f t="shared" si="283"/>
        <v>1</v>
      </c>
      <c r="AT375" s="279">
        <f t="shared" si="284"/>
        <v>1</v>
      </c>
      <c r="AU375" s="279">
        <f t="shared" si="285"/>
        <v>0.46178836633663367</v>
      </c>
      <c r="AV375" s="279">
        <f t="shared" si="286"/>
        <v>0</v>
      </c>
    </row>
    <row r="376" spans="1:48" outlineLevel="1" x14ac:dyDescent="0.25">
      <c r="A376" s="4" t="s">
        <v>357</v>
      </c>
      <c r="B376" s="75" t="s">
        <v>862</v>
      </c>
      <c r="C376" s="25"/>
      <c r="D376" s="92">
        <v>1</v>
      </c>
      <c r="E376" s="110">
        <f>3732-500</f>
        <v>3232</v>
      </c>
      <c r="F376" s="93">
        <f>D376*E376</f>
        <v>3232</v>
      </c>
      <c r="G376" s="74">
        <f t="shared" si="304"/>
        <v>-0.33000000000038199</v>
      </c>
      <c r="H376" s="95">
        <f t="shared" si="298"/>
        <v>3231.6699999999996</v>
      </c>
      <c r="I376" s="112"/>
      <c r="J376" s="57"/>
      <c r="K376" s="57"/>
      <c r="L376" s="57">
        <f>4878*0.9*0.85-500</f>
        <v>3231.6699999999996</v>
      </c>
      <c r="M376" s="57"/>
      <c r="N376" s="57"/>
      <c r="O376" s="57"/>
      <c r="P376" s="68"/>
      <c r="Q376" s="58"/>
      <c r="R376" s="93">
        <v>3232</v>
      </c>
      <c r="S376" s="74">
        <f t="shared" si="299"/>
        <v>-0.33000000000038199</v>
      </c>
      <c r="T376" s="95">
        <f t="shared" si="281"/>
        <v>3231.6699999999996</v>
      </c>
      <c r="U376" s="112"/>
      <c r="V376" s="57"/>
      <c r="W376" s="57"/>
      <c r="X376" s="57">
        <f>4878*0.9*0.85-500</f>
        <v>3231.6699999999996</v>
      </c>
      <c r="Y376" s="57"/>
      <c r="Z376" s="57"/>
      <c r="AA376" s="57"/>
      <c r="AB376" s="68"/>
      <c r="AC376" s="58"/>
      <c r="AD376" s="170">
        <v>1492.5</v>
      </c>
      <c r="AE376" s="89">
        <f t="shared" si="292"/>
        <v>-1492.5</v>
      </c>
      <c r="AF376" s="216">
        <f t="shared" si="293"/>
        <v>0</v>
      </c>
      <c r="AG376" s="147"/>
      <c r="AH376" s="148"/>
      <c r="AI376" s="148"/>
      <c r="AJ376" s="148"/>
      <c r="AK376" s="148"/>
      <c r="AL376" s="148"/>
      <c r="AM376" s="148"/>
      <c r="AN376" s="149"/>
      <c r="AO376" s="150"/>
      <c r="AP376" s="76"/>
      <c r="AQ376" s="76"/>
      <c r="AR376" s="128"/>
      <c r="AS376" s="108">
        <f t="shared" si="283"/>
        <v>1</v>
      </c>
      <c r="AT376" s="249">
        <f t="shared" si="284"/>
        <v>1</v>
      </c>
      <c r="AU376" s="249">
        <f t="shared" si="285"/>
        <v>0.46178836633663367</v>
      </c>
      <c r="AV376" s="249">
        <f t="shared" si="286"/>
        <v>0</v>
      </c>
    </row>
    <row r="377" spans="1:48" outlineLevel="1" x14ac:dyDescent="0.25">
      <c r="A377" s="6" t="s">
        <v>1111</v>
      </c>
      <c r="B377" s="75" t="s">
        <v>47</v>
      </c>
      <c r="C377" s="25"/>
      <c r="D377" s="92"/>
      <c r="E377" s="110"/>
      <c r="F377" s="93">
        <f>D377*E377</f>
        <v>0</v>
      </c>
      <c r="G377" s="74">
        <f t="shared" si="304"/>
        <v>0</v>
      </c>
      <c r="H377" s="95">
        <f t="shared" si="298"/>
        <v>0</v>
      </c>
      <c r="I377" s="112"/>
      <c r="J377" s="57"/>
      <c r="K377" s="57"/>
      <c r="L377" s="57"/>
      <c r="M377" s="57"/>
      <c r="N377" s="57"/>
      <c r="O377" s="57"/>
      <c r="P377" s="68"/>
      <c r="Q377" s="58"/>
      <c r="R377" s="93">
        <f>P377*Q377</f>
        <v>0</v>
      </c>
      <c r="S377" s="74">
        <f t="shared" si="299"/>
        <v>0</v>
      </c>
      <c r="T377" s="95">
        <f t="shared" si="281"/>
        <v>0</v>
      </c>
      <c r="U377" s="112"/>
      <c r="V377" s="57"/>
      <c r="W377" s="57"/>
      <c r="X377" s="57"/>
      <c r="Y377" s="57"/>
      <c r="Z377" s="57"/>
      <c r="AA377" s="57"/>
      <c r="AB377" s="68"/>
      <c r="AC377" s="58"/>
      <c r="AD377" s="170">
        <f>P377*Q377</f>
        <v>0</v>
      </c>
      <c r="AE377" s="89">
        <f t="shared" si="292"/>
        <v>0</v>
      </c>
      <c r="AF377" s="216">
        <f t="shared" si="293"/>
        <v>0</v>
      </c>
      <c r="AG377" s="147"/>
      <c r="AH377" s="148"/>
      <c r="AI377" s="148"/>
      <c r="AJ377" s="148"/>
      <c r="AK377" s="148"/>
      <c r="AL377" s="148"/>
      <c r="AM377" s="148"/>
      <c r="AN377" s="149"/>
      <c r="AO377" s="150"/>
      <c r="AP377" s="76"/>
      <c r="AQ377" s="76"/>
      <c r="AR377" s="128"/>
      <c r="AS377" s="108"/>
      <c r="AT377" s="249"/>
      <c r="AU377" s="249"/>
      <c r="AV377" s="249"/>
    </row>
    <row r="378" spans="1:48" s="280" customFormat="1" ht="15.75" x14ac:dyDescent="0.25">
      <c r="A378" s="270" t="s">
        <v>360</v>
      </c>
      <c r="B378" s="271" t="s">
        <v>250</v>
      </c>
      <c r="C378" s="272"/>
      <c r="D378" s="273"/>
      <c r="E378" s="274"/>
      <c r="F378" s="264">
        <f>SUM(F379:F379)</f>
        <v>0</v>
      </c>
      <c r="G378" s="265">
        <f t="shared" si="304"/>
        <v>0</v>
      </c>
      <c r="H378" s="275">
        <f t="shared" si="298"/>
        <v>0</v>
      </c>
      <c r="I378" s="267">
        <f t="shared" ref="I378:Q378" si="328">SUM(I379:I379)</f>
        <v>0</v>
      </c>
      <c r="J378" s="268">
        <f t="shared" si="328"/>
        <v>0</v>
      </c>
      <c r="K378" s="268">
        <f t="shared" si="328"/>
        <v>0</v>
      </c>
      <c r="L378" s="268">
        <f t="shared" si="328"/>
        <v>0</v>
      </c>
      <c r="M378" s="268">
        <f t="shared" si="328"/>
        <v>0</v>
      </c>
      <c r="N378" s="268">
        <f t="shared" si="328"/>
        <v>0</v>
      </c>
      <c r="O378" s="268">
        <f t="shared" si="328"/>
        <v>0</v>
      </c>
      <c r="P378" s="268">
        <f t="shared" si="328"/>
        <v>0</v>
      </c>
      <c r="Q378" s="269">
        <f t="shared" si="328"/>
        <v>0</v>
      </c>
      <c r="R378" s="264">
        <f>SUM(R379:R380)</f>
        <v>0</v>
      </c>
      <c r="S378" s="265">
        <f t="shared" si="299"/>
        <v>0</v>
      </c>
      <c r="T378" s="275">
        <f t="shared" si="281"/>
        <v>0</v>
      </c>
      <c r="U378" s="267">
        <f>SUM(U379:U380)</f>
        <v>0</v>
      </c>
      <c r="V378" s="267">
        <f t="shared" ref="V378:AC378" si="329">SUM(V379:V380)</f>
        <v>0</v>
      </c>
      <c r="W378" s="267">
        <f t="shared" si="329"/>
        <v>0</v>
      </c>
      <c r="X378" s="267">
        <f t="shared" si="329"/>
        <v>0</v>
      </c>
      <c r="Y378" s="267">
        <f t="shared" si="329"/>
        <v>0</v>
      </c>
      <c r="Z378" s="267">
        <f t="shared" si="329"/>
        <v>0</v>
      </c>
      <c r="AA378" s="267">
        <f t="shared" si="329"/>
        <v>0</v>
      </c>
      <c r="AB378" s="267">
        <f t="shared" si="329"/>
        <v>0</v>
      </c>
      <c r="AC378" s="267">
        <f t="shared" si="329"/>
        <v>0</v>
      </c>
      <c r="AD378" s="264">
        <f>SUM(AD379:AD380)</f>
        <v>118.58</v>
      </c>
      <c r="AE378" s="265">
        <f t="shared" si="292"/>
        <v>-118.58</v>
      </c>
      <c r="AF378" s="266">
        <f t="shared" si="293"/>
        <v>0</v>
      </c>
      <c r="AG378" s="267">
        <f>SUM(AG379:AG380)</f>
        <v>0</v>
      </c>
      <c r="AH378" s="267">
        <f t="shared" ref="AH378:AR378" si="330">SUM(AH379:AH380)</f>
        <v>0</v>
      </c>
      <c r="AI378" s="267">
        <f t="shared" si="330"/>
        <v>0</v>
      </c>
      <c r="AJ378" s="267">
        <f t="shared" si="330"/>
        <v>0</v>
      </c>
      <c r="AK378" s="267">
        <f t="shared" si="330"/>
        <v>0</v>
      </c>
      <c r="AL378" s="267">
        <f t="shared" si="330"/>
        <v>0</v>
      </c>
      <c r="AM378" s="267">
        <f t="shared" si="330"/>
        <v>0</v>
      </c>
      <c r="AN378" s="267">
        <f t="shared" si="330"/>
        <v>0</v>
      </c>
      <c r="AO378" s="267">
        <f t="shared" si="330"/>
        <v>0</v>
      </c>
      <c r="AP378" s="267">
        <f t="shared" si="330"/>
        <v>0</v>
      </c>
      <c r="AQ378" s="267">
        <f t="shared" si="330"/>
        <v>0</v>
      </c>
      <c r="AR378" s="267">
        <f t="shared" si="330"/>
        <v>0</v>
      </c>
      <c r="AS378" s="278"/>
      <c r="AT378" s="279"/>
      <c r="AU378" s="279"/>
      <c r="AV378" s="279"/>
    </row>
    <row r="379" spans="1:48" outlineLevel="1" x14ac:dyDescent="0.25">
      <c r="A379" s="4" t="s">
        <v>361</v>
      </c>
      <c r="B379" s="75" t="s">
        <v>1112</v>
      </c>
      <c r="C379" s="25"/>
      <c r="D379" s="92"/>
      <c r="E379" s="110"/>
      <c r="F379" s="93">
        <f>D379*E379</f>
        <v>0</v>
      </c>
      <c r="G379" s="74">
        <f t="shared" si="304"/>
        <v>0</v>
      </c>
      <c r="H379" s="95">
        <f t="shared" si="298"/>
        <v>0</v>
      </c>
      <c r="I379" s="112"/>
      <c r="J379" s="57"/>
      <c r="K379" s="57"/>
      <c r="L379" s="57"/>
      <c r="M379" s="57"/>
      <c r="N379" s="57"/>
      <c r="O379" s="57"/>
      <c r="P379" s="68"/>
      <c r="Q379" s="58"/>
      <c r="R379" s="93">
        <f>P379*Q379</f>
        <v>0</v>
      </c>
      <c r="S379" s="74">
        <f t="shared" si="299"/>
        <v>0</v>
      </c>
      <c r="T379" s="95">
        <f t="shared" si="281"/>
        <v>0</v>
      </c>
      <c r="U379" s="112"/>
      <c r="V379" s="57"/>
      <c r="W379" s="57"/>
      <c r="X379" s="57"/>
      <c r="Y379" s="57"/>
      <c r="Z379" s="57"/>
      <c r="AA379" s="57"/>
      <c r="AB379" s="68"/>
      <c r="AC379" s="58"/>
      <c r="AD379" s="170">
        <v>118.58</v>
      </c>
      <c r="AE379" s="89">
        <f t="shared" si="292"/>
        <v>-118.58</v>
      </c>
      <c r="AF379" s="216">
        <f t="shared" si="293"/>
        <v>0</v>
      </c>
      <c r="AG379" s="147"/>
      <c r="AH379" s="148"/>
      <c r="AI379" s="148"/>
      <c r="AJ379" s="148"/>
      <c r="AK379" s="148"/>
      <c r="AL379" s="148"/>
      <c r="AM379" s="148"/>
      <c r="AN379" s="149"/>
      <c r="AO379" s="150"/>
      <c r="AP379" s="76"/>
      <c r="AQ379" s="76"/>
      <c r="AR379" s="128"/>
      <c r="AS379" s="108"/>
      <c r="AT379" s="249"/>
      <c r="AU379" s="249"/>
      <c r="AV379" s="249"/>
    </row>
    <row r="380" spans="1:48" outlineLevel="1" x14ac:dyDescent="0.25">
      <c r="A380" s="4" t="s">
        <v>1113</v>
      </c>
      <c r="B380" s="75" t="s">
        <v>47</v>
      </c>
      <c r="C380" s="25"/>
      <c r="D380" s="92"/>
      <c r="E380" s="110"/>
      <c r="F380" s="93"/>
      <c r="G380" s="74"/>
      <c r="H380" s="95"/>
      <c r="I380" s="112"/>
      <c r="J380" s="57"/>
      <c r="K380" s="57"/>
      <c r="L380" s="57"/>
      <c r="M380" s="57"/>
      <c r="N380" s="57"/>
      <c r="O380" s="57"/>
      <c r="P380" s="68"/>
      <c r="Q380" s="58"/>
      <c r="R380" s="93"/>
      <c r="S380" s="74"/>
      <c r="T380" s="95"/>
      <c r="U380" s="112"/>
      <c r="V380" s="57"/>
      <c r="W380" s="57"/>
      <c r="X380" s="57"/>
      <c r="Y380" s="57"/>
      <c r="Z380" s="57"/>
      <c r="AA380" s="57"/>
      <c r="AB380" s="68"/>
      <c r="AC380" s="58"/>
      <c r="AD380" s="170"/>
      <c r="AE380" s="89"/>
      <c r="AF380" s="216"/>
      <c r="AG380" s="147"/>
      <c r="AH380" s="148"/>
      <c r="AI380" s="148"/>
      <c r="AJ380" s="148"/>
      <c r="AK380" s="148"/>
      <c r="AL380" s="148"/>
      <c r="AM380" s="148"/>
      <c r="AN380" s="149"/>
      <c r="AO380" s="150"/>
      <c r="AP380" s="176"/>
      <c r="AQ380" s="176"/>
      <c r="AR380" s="177"/>
      <c r="AS380" s="108"/>
      <c r="AT380" s="249"/>
      <c r="AU380" s="249"/>
      <c r="AV380" s="249"/>
    </row>
    <row r="381" spans="1:48" s="280" customFormat="1" ht="15" customHeight="1" x14ac:dyDescent="0.25">
      <c r="A381" s="270" t="s">
        <v>1114</v>
      </c>
      <c r="B381" s="271" t="s">
        <v>495</v>
      </c>
      <c r="C381" s="272"/>
      <c r="D381" s="273"/>
      <c r="E381" s="274"/>
      <c r="F381" s="264">
        <f>SUM(F382:F382)</f>
        <v>1735.2</v>
      </c>
      <c r="G381" s="265">
        <f t="shared" si="304"/>
        <v>-0.15000000000009095</v>
      </c>
      <c r="H381" s="275">
        <f t="shared" si="298"/>
        <v>1735.05</v>
      </c>
      <c r="I381" s="267">
        <f t="shared" ref="I381:AO381" si="331">SUM(I382:I382)</f>
        <v>0</v>
      </c>
      <c r="J381" s="268">
        <f t="shared" si="331"/>
        <v>0</v>
      </c>
      <c r="K381" s="268">
        <f t="shared" si="331"/>
        <v>418.05</v>
      </c>
      <c r="L381" s="268">
        <f t="shared" si="331"/>
        <v>1317</v>
      </c>
      <c r="M381" s="268">
        <f t="shared" si="331"/>
        <v>0</v>
      </c>
      <c r="N381" s="268">
        <f t="shared" si="331"/>
        <v>0</v>
      </c>
      <c r="O381" s="268">
        <f t="shared" si="331"/>
        <v>0</v>
      </c>
      <c r="P381" s="268">
        <f t="shared" si="331"/>
        <v>0</v>
      </c>
      <c r="Q381" s="269">
        <f t="shared" si="331"/>
        <v>0</v>
      </c>
      <c r="R381" s="264">
        <f>SUM(R382:R382)</f>
        <v>1735</v>
      </c>
      <c r="S381" s="265">
        <f t="shared" si="299"/>
        <v>-418</v>
      </c>
      <c r="T381" s="275">
        <f t="shared" si="281"/>
        <v>1317</v>
      </c>
      <c r="U381" s="267">
        <f t="shared" si="331"/>
        <v>0</v>
      </c>
      <c r="V381" s="268">
        <f t="shared" si="331"/>
        <v>0</v>
      </c>
      <c r="W381" s="268">
        <f t="shared" si="331"/>
        <v>0</v>
      </c>
      <c r="X381" s="268">
        <f t="shared" si="331"/>
        <v>1317</v>
      </c>
      <c r="Y381" s="268">
        <f t="shared" si="331"/>
        <v>0</v>
      </c>
      <c r="Z381" s="268">
        <f t="shared" si="331"/>
        <v>0</v>
      </c>
      <c r="AA381" s="268">
        <f t="shared" si="331"/>
        <v>0</v>
      </c>
      <c r="AB381" s="268">
        <f t="shared" si="331"/>
        <v>0</v>
      </c>
      <c r="AC381" s="269">
        <f t="shared" si="331"/>
        <v>0</v>
      </c>
      <c r="AD381" s="264">
        <f>SUM(AD382:AD382)</f>
        <v>0</v>
      </c>
      <c r="AE381" s="265">
        <f t="shared" si="292"/>
        <v>0</v>
      </c>
      <c r="AF381" s="266">
        <f t="shared" si="293"/>
        <v>0</v>
      </c>
      <c r="AG381" s="267">
        <f t="shared" si="331"/>
        <v>0</v>
      </c>
      <c r="AH381" s="268">
        <f t="shared" si="331"/>
        <v>0</v>
      </c>
      <c r="AI381" s="268">
        <f t="shared" si="331"/>
        <v>0</v>
      </c>
      <c r="AJ381" s="268">
        <f t="shared" si="331"/>
        <v>0</v>
      </c>
      <c r="AK381" s="268">
        <f t="shared" si="331"/>
        <v>0</v>
      </c>
      <c r="AL381" s="268">
        <f t="shared" si="331"/>
        <v>0</v>
      </c>
      <c r="AM381" s="268">
        <f t="shared" si="331"/>
        <v>0</v>
      </c>
      <c r="AN381" s="268">
        <f t="shared" si="331"/>
        <v>0</v>
      </c>
      <c r="AO381" s="269">
        <f t="shared" si="331"/>
        <v>0</v>
      </c>
      <c r="AP381" s="276">
        <v>1904</v>
      </c>
      <c r="AQ381" s="276">
        <f>1821.8+731.71-650</f>
        <v>1903.5100000000002</v>
      </c>
      <c r="AR381" s="277">
        <f>AQ381*100/AP381</f>
        <v>99.974264705882362</v>
      </c>
      <c r="AS381" s="278">
        <f t="shared" si="283"/>
        <v>0.99988473951129553</v>
      </c>
      <c r="AT381" s="279">
        <f t="shared" si="284"/>
        <v>0.75905593498746438</v>
      </c>
      <c r="AU381" s="279">
        <f t="shared" si="285"/>
        <v>0</v>
      </c>
      <c r="AV381" s="279">
        <f t="shared" si="286"/>
        <v>0</v>
      </c>
    </row>
    <row r="382" spans="1:48" outlineLevel="1" x14ac:dyDescent="0.25">
      <c r="A382" s="4" t="s">
        <v>1115</v>
      </c>
      <c r="B382" s="75" t="s">
        <v>495</v>
      </c>
      <c r="C382" s="25"/>
      <c r="D382" s="92">
        <v>1</v>
      </c>
      <c r="E382" s="110">
        <f>11568*0.15</f>
        <v>1735.2</v>
      </c>
      <c r="F382" s="93">
        <f>D382*E382</f>
        <v>1735.2</v>
      </c>
      <c r="G382" s="74">
        <f t="shared" si="304"/>
        <v>-0.15000000000009095</v>
      </c>
      <c r="H382" s="95">
        <f t="shared" si="298"/>
        <v>1735.05</v>
      </c>
      <c r="I382" s="112"/>
      <c r="J382" s="57"/>
      <c r="K382" s="57">
        <f>2787*0.15</f>
        <v>418.05</v>
      </c>
      <c r="L382" s="57">
        <f>4390*2*0.15</f>
        <v>1317</v>
      </c>
      <c r="M382" s="57"/>
      <c r="N382" s="57"/>
      <c r="O382" s="57"/>
      <c r="P382" s="57"/>
      <c r="Q382" s="58"/>
      <c r="R382" s="93">
        <v>1735</v>
      </c>
      <c r="S382" s="74">
        <f t="shared" si="299"/>
        <v>-418</v>
      </c>
      <c r="T382" s="95">
        <f t="shared" si="281"/>
        <v>1317</v>
      </c>
      <c r="U382" s="112"/>
      <c r="V382" s="57"/>
      <c r="W382" s="57"/>
      <c r="X382" s="57">
        <f>4390*2*0.15</f>
        <v>1317</v>
      </c>
      <c r="Y382" s="57"/>
      <c r="Z382" s="57"/>
      <c r="AA382" s="57"/>
      <c r="AB382" s="57"/>
      <c r="AC382" s="58"/>
      <c r="AD382" s="170">
        <f>P382*Q382</f>
        <v>0</v>
      </c>
      <c r="AE382" s="89">
        <f t="shared" si="292"/>
        <v>0</v>
      </c>
      <c r="AF382" s="216">
        <f t="shared" si="293"/>
        <v>0</v>
      </c>
      <c r="AG382" s="147"/>
      <c r="AH382" s="148"/>
      <c r="AI382" s="148"/>
      <c r="AJ382" s="148"/>
      <c r="AK382" s="148"/>
      <c r="AL382" s="148"/>
      <c r="AM382" s="148"/>
      <c r="AN382" s="148"/>
      <c r="AO382" s="150"/>
      <c r="AP382" s="76"/>
      <c r="AQ382" s="76"/>
      <c r="AR382" s="128"/>
      <c r="AS382" s="108">
        <f t="shared" si="283"/>
        <v>0.99988473951129553</v>
      </c>
      <c r="AT382" s="249">
        <f t="shared" si="284"/>
        <v>0.75905593498746438</v>
      </c>
      <c r="AU382" s="249">
        <f t="shared" si="285"/>
        <v>0</v>
      </c>
      <c r="AV382" s="249">
        <f t="shared" si="286"/>
        <v>0</v>
      </c>
    </row>
    <row r="383" spans="1:48" s="2" customFormat="1" ht="21" x14ac:dyDescent="0.35">
      <c r="A383" s="8" t="s">
        <v>342</v>
      </c>
      <c r="B383" s="12" t="s">
        <v>308</v>
      </c>
      <c r="C383" s="21"/>
      <c r="D383" s="22"/>
      <c r="E383" s="15"/>
      <c r="F383" s="84">
        <f>F384+F389+F394+F398+F405</f>
        <v>26500</v>
      </c>
      <c r="G383" s="89">
        <f t="shared" si="304"/>
        <v>0</v>
      </c>
      <c r="H383" s="16">
        <f t="shared" si="298"/>
        <v>26500</v>
      </c>
      <c r="I383" s="51">
        <f t="shared" ref="I383:Q383" si="332">I384+I389+I394+I398+I405</f>
        <v>5000</v>
      </c>
      <c r="J383" s="51">
        <f t="shared" si="332"/>
        <v>1500</v>
      </c>
      <c r="K383" s="51">
        <f t="shared" si="332"/>
        <v>0</v>
      </c>
      <c r="L383" s="51">
        <f t="shared" si="332"/>
        <v>0</v>
      </c>
      <c r="M383" s="51">
        <f t="shared" si="332"/>
        <v>0</v>
      </c>
      <c r="N383" s="51">
        <f t="shared" si="332"/>
        <v>0</v>
      </c>
      <c r="O383" s="51">
        <f t="shared" si="332"/>
        <v>0</v>
      </c>
      <c r="P383" s="51">
        <f t="shared" si="332"/>
        <v>0</v>
      </c>
      <c r="Q383" s="59">
        <f t="shared" si="332"/>
        <v>20000</v>
      </c>
      <c r="R383" s="84">
        <f>R384+R389+R394+R398+R405</f>
        <v>26500</v>
      </c>
      <c r="S383" s="89">
        <f t="shared" si="299"/>
        <v>0</v>
      </c>
      <c r="T383" s="16">
        <f t="shared" si="281"/>
        <v>26500</v>
      </c>
      <c r="U383" s="51">
        <f t="shared" ref="U383:AC383" si="333">U384+U389+U394+U398+U405</f>
        <v>5000</v>
      </c>
      <c r="V383" s="51">
        <f t="shared" si="333"/>
        <v>1500</v>
      </c>
      <c r="W383" s="51">
        <f t="shared" si="333"/>
        <v>0</v>
      </c>
      <c r="X383" s="51">
        <f t="shared" si="333"/>
        <v>0</v>
      </c>
      <c r="Y383" s="51">
        <f t="shared" si="333"/>
        <v>0</v>
      </c>
      <c r="Z383" s="51">
        <f t="shared" si="333"/>
        <v>0</v>
      </c>
      <c r="AA383" s="51">
        <f t="shared" si="333"/>
        <v>0</v>
      </c>
      <c r="AB383" s="51">
        <f t="shared" si="333"/>
        <v>0</v>
      </c>
      <c r="AC383" s="59">
        <f t="shared" si="333"/>
        <v>20000</v>
      </c>
      <c r="AD383" s="255">
        <f>AD384+AD389+AD394+AD398+AD405</f>
        <v>2157.12</v>
      </c>
      <c r="AE383" s="256">
        <f t="shared" si="292"/>
        <v>-2157.12</v>
      </c>
      <c r="AF383" s="257">
        <f t="shared" si="293"/>
        <v>0</v>
      </c>
      <c r="AG383" s="260">
        <f t="shared" ref="AG383:AO383" si="334">AG384+AG389+AG394+AG398+AG405</f>
        <v>0</v>
      </c>
      <c r="AH383" s="260">
        <f t="shared" si="334"/>
        <v>0</v>
      </c>
      <c r="AI383" s="260">
        <f t="shared" si="334"/>
        <v>0</v>
      </c>
      <c r="AJ383" s="260">
        <f t="shared" si="334"/>
        <v>0</v>
      </c>
      <c r="AK383" s="260">
        <f t="shared" si="334"/>
        <v>0</v>
      </c>
      <c r="AL383" s="260">
        <f t="shared" si="334"/>
        <v>0</v>
      </c>
      <c r="AM383" s="260">
        <f t="shared" si="334"/>
        <v>0</v>
      </c>
      <c r="AN383" s="260">
        <f t="shared" si="334"/>
        <v>0</v>
      </c>
      <c r="AO383" s="261">
        <f t="shared" si="334"/>
        <v>0</v>
      </c>
      <c r="AP383" s="32">
        <f>+AP384+AP389+AP394+AP398+AP405</f>
        <v>20475</v>
      </c>
      <c r="AQ383" s="32">
        <f>AQ384+AQ389+AQ394+AQ398+AQ405</f>
        <v>9574.93</v>
      </c>
      <c r="AR383" s="126">
        <f>AQ383*100/AP383</f>
        <v>46.764004884004883</v>
      </c>
      <c r="AS383" s="108">
        <f t="shared" si="283"/>
        <v>1</v>
      </c>
      <c r="AT383" s="249">
        <f t="shared" si="284"/>
        <v>1</v>
      </c>
      <c r="AU383" s="249">
        <f t="shared" si="285"/>
        <v>8.1400754716981133E-2</v>
      </c>
      <c r="AV383" s="249">
        <f t="shared" si="286"/>
        <v>0</v>
      </c>
    </row>
    <row r="384" spans="1:48" s="280" customFormat="1" ht="15.75" x14ac:dyDescent="0.25">
      <c r="A384" s="270" t="s">
        <v>362</v>
      </c>
      <c r="B384" s="271" t="s">
        <v>265</v>
      </c>
      <c r="C384" s="272"/>
      <c r="D384" s="273"/>
      <c r="E384" s="274"/>
      <c r="F384" s="264">
        <f>SUM(F385:F388)</f>
        <v>1000</v>
      </c>
      <c r="G384" s="265">
        <f t="shared" si="304"/>
        <v>0</v>
      </c>
      <c r="H384" s="275">
        <f t="shared" si="298"/>
        <v>1000</v>
      </c>
      <c r="I384" s="267">
        <f t="shared" ref="I384:Q384" si="335">SUM(I385:I388)</f>
        <v>1000</v>
      </c>
      <c r="J384" s="268">
        <f t="shared" si="335"/>
        <v>0</v>
      </c>
      <c r="K384" s="268">
        <f t="shared" si="335"/>
        <v>0</v>
      </c>
      <c r="L384" s="268">
        <f t="shared" si="335"/>
        <v>0</v>
      </c>
      <c r="M384" s="268">
        <f>SUM(M385:M388)</f>
        <v>0</v>
      </c>
      <c r="N384" s="268">
        <f t="shared" si="335"/>
        <v>0</v>
      </c>
      <c r="O384" s="268">
        <f t="shared" si="335"/>
        <v>0</v>
      </c>
      <c r="P384" s="268">
        <f t="shared" si="335"/>
        <v>0</v>
      </c>
      <c r="Q384" s="269">
        <f t="shared" si="335"/>
        <v>0</v>
      </c>
      <c r="R384" s="264">
        <f>SUM(R385:R388)</f>
        <v>1000</v>
      </c>
      <c r="S384" s="265">
        <f t="shared" si="299"/>
        <v>0</v>
      </c>
      <c r="T384" s="275">
        <f t="shared" si="281"/>
        <v>1000</v>
      </c>
      <c r="U384" s="267">
        <f t="shared" ref="U384:AD384" si="336">SUM(U385:U388)</f>
        <v>1000</v>
      </c>
      <c r="V384" s="268">
        <f t="shared" si="336"/>
        <v>0</v>
      </c>
      <c r="W384" s="268">
        <f t="shared" si="336"/>
        <v>0</v>
      </c>
      <c r="X384" s="268">
        <f t="shared" si="336"/>
        <v>0</v>
      </c>
      <c r="Y384" s="268">
        <f t="shared" si="336"/>
        <v>0</v>
      </c>
      <c r="Z384" s="268">
        <f t="shared" si="336"/>
        <v>0</v>
      </c>
      <c r="AA384" s="268">
        <f t="shared" si="336"/>
        <v>0</v>
      </c>
      <c r="AB384" s="268">
        <f t="shared" si="336"/>
        <v>0</v>
      </c>
      <c r="AC384" s="269">
        <f t="shared" si="336"/>
        <v>0</v>
      </c>
      <c r="AD384" s="264">
        <f t="shared" si="336"/>
        <v>148.74</v>
      </c>
      <c r="AE384" s="265">
        <f t="shared" si="292"/>
        <v>-148.74</v>
      </c>
      <c r="AF384" s="266">
        <f t="shared" si="293"/>
        <v>0</v>
      </c>
      <c r="AG384" s="267">
        <f t="shared" ref="AG384:AO384" si="337">SUM(AG385:AG388)</f>
        <v>0</v>
      </c>
      <c r="AH384" s="268">
        <f t="shared" si="337"/>
        <v>0</v>
      </c>
      <c r="AI384" s="268">
        <f t="shared" si="337"/>
        <v>0</v>
      </c>
      <c r="AJ384" s="268">
        <f t="shared" si="337"/>
        <v>0</v>
      </c>
      <c r="AK384" s="268">
        <f t="shared" si="337"/>
        <v>0</v>
      </c>
      <c r="AL384" s="268">
        <f t="shared" si="337"/>
        <v>0</v>
      </c>
      <c r="AM384" s="268">
        <f t="shared" si="337"/>
        <v>0</v>
      </c>
      <c r="AN384" s="268">
        <f t="shared" si="337"/>
        <v>0</v>
      </c>
      <c r="AO384" s="269">
        <f t="shared" si="337"/>
        <v>0</v>
      </c>
      <c r="AP384" s="276">
        <v>475</v>
      </c>
      <c r="AQ384" s="276">
        <v>562.41999999999996</v>
      </c>
      <c r="AR384" s="277">
        <f>AQ384*100/AP384</f>
        <v>118.40421052631578</v>
      </c>
      <c r="AS384" s="278">
        <f t="shared" si="283"/>
        <v>1</v>
      </c>
      <c r="AT384" s="279">
        <f t="shared" si="284"/>
        <v>1</v>
      </c>
      <c r="AU384" s="279">
        <f t="shared" si="285"/>
        <v>0.14874000000000001</v>
      </c>
      <c r="AV384" s="279">
        <f t="shared" si="286"/>
        <v>0</v>
      </c>
    </row>
    <row r="385" spans="1:48" outlineLevel="1" x14ac:dyDescent="0.25">
      <c r="A385" s="5" t="s">
        <v>363</v>
      </c>
      <c r="B385" s="75" t="s">
        <v>281</v>
      </c>
      <c r="C385" s="25"/>
      <c r="D385" s="92">
        <v>1</v>
      </c>
      <c r="E385" s="110">
        <v>200</v>
      </c>
      <c r="F385" s="93">
        <f>D385*E385</f>
        <v>200</v>
      </c>
      <c r="G385" s="74">
        <f t="shared" si="304"/>
        <v>0</v>
      </c>
      <c r="H385" s="95">
        <f t="shared" si="298"/>
        <v>200</v>
      </c>
      <c r="I385" s="112">
        <v>200</v>
      </c>
      <c r="J385" s="57"/>
      <c r="K385" s="57"/>
      <c r="L385" s="57"/>
      <c r="M385" s="57"/>
      <c r="N385" s="57"/>
      <c r="O385" s="57"/>
      <c r="P385" s="68"/>
      <c r="Q385" s="58"/>
      <c r="R385" s="93">
        <v>200</v>
      </c>
      <c r="S385" s="74">
        <f t="shared" si="299"/>
        <v>0</v>
      </c>
      <c r="T385" s="95">
        <f t="shared" si="281"/>
        <v>200</v>
      </c>
      <c r="U385" s="112">
        <v>200</v>
      </c>
      <c r="V385" s="57"/>
      <c r="W385" s="57"/>
      <c r="X385" s="57"/>
      <c r="Y385" s="57"/>
      <c r="Z385" s="57"/>
      <c r="AA385" s="57"/>
      <c r="AB385" s="68"/>
      <c r="AC385" s="58"/>
      <c r="AD385" s="170">
        <f>P385*Q385</f>
        <v>0</v>
      </c>
      <c r="AE385" s="89">
        <f t="shared" si="292"/>
        <v>0</v>
      </c>
      <c r="AF385" s="216">
        <f t="shared" si="293"/>
        <v>0</v>
      </c>
      <c r="AG385" s="147"/>
      <c r="AH385" s="148"/>
      <c r="AI385" s="148"/>
      <c r="AJ385" s="148"/>
      <c r="AK385" s="148"/>
      <c r="AL385" s="148"/>
      <c r="AM385" s="148"/>
      <c r="AN385" s="149"/>
      <c r="AO385" s="150"/>
      <c r="AP385" s="76"/>
      <c r="AQ385" s="76"/>
      <c r="AR385" s="128"/>
      <c r="AS385" s="108">
        <f t="shared" si="283"/>
        <v>1</v>
      </c>
      <c r="AT385" s="249">
        <f t="shared" si="284"/>
        <v>1</v>
      </c>
      <c r="AU385" s="249">
        <f t="shared" si="285"/>
        <v>0</v>
      </c>
      <c r="AV385" s="249">
        <f t="shared" si="286"/>
        <v>0</v>
      </c>
    </row>
    <row r="386" spans="1:48" outlineLevel="1" x14ac:dyDescent="0.25">
      <c r="A386" s="4" t="s">
        <v>364</v>
      </c>
      <c r="B386" s="75" t="s">
        <v>309</v>
      </c>
      <c r="C386" s="25"/>
      <c r="D386" s="92">
        <v>4</v>
      </c>
      <c r="E386" s="110">
        <v>100</v>
      </c>
      <c r="F386" s="93">
        <f>D386*E386</f>
        <v>400</v>
      </c>
      <c r="G386" s="74">
        <f t="shared" si="304"/>
        <v>0</v>
      </c>
      <c r="H386" s="95">
        <f t="shared" si="298"/>
        <v>400</v>
      </c>
      <c r="I386" s="112">
        <v>400</v>
      </c>
      <c r="J386" s="57"/>
      <c r="K386" s="57"/>
      <c r="L386" s="57"/>
      <c r="M386" s="57"/>
      <c r="N386" s="57"/>
      <c r="O386" s="57"/>
      <c r="P386" s="68"/>
      <c r="Q386" s="58"/>
      <c r="R386" s="93">
        <v>400</v>
      </c>
      <c r="S386" s="74">
        <f t="shared" si="299"/>
        <v>0</v>
      </c>
      <c r="T386" s="95">
        <f t="shared" ref="T386:T451" si="338">SUM(U386:AC386)</f>
        <v>400</v>
      </c>
      <c r="U386" s="112">
        <v>400</v>
      </c>
      <c r="V386" s="57"/>
      <c r="W386" s="57"/>
      <c r="X386" s="57"/>
      <c r="Y386" s="57"/>
      <c r="Z386" s="57"/>
      <c r="AA386" s="57"/>
      <c r="AB386" s="68"/>
      <c r="AC386" s="58"/>
      <c r="AD386" s="170">
        <f>P386*Q386</f>
        <v>0</v>
      </c>
      <c r="AE386" s="89">
        <f t="shared" si="292"/>
        <v>0</v>
      </c>
      <c r="AF386" s="216">
        <f t="shared" si="293"/>
        <v>0</v>
      </c>
      <c r="AG386" s="147"/>
      <c r="AH386" s="148"/>
      <c r="AI386" s="148"/>
      <c r="AJ386" s="148"/>
      <c r="AK386" s="148"/>
      <c r="AL386" s="148"/>
      <c r="AM386" s="148"/>
      <c r="AN386" s="149"/>
      <c r="AO386" s="150"/>
      <c r="AP386" s="76"/>
      <c r="AQ386" s="76"/>
      <c r="AR386" s="128"/>
      <c r="AS386" s="108">
        <f t="shared" si="283"/>
        <v>1</v>
      </c>
      <c r="AT386" s="249">
        <f t="shared" si="284"/>
        <v>1</v>
      </c>
      <c r="AU386" s="249">
        <f t="shared" si="285"/>
        <v>0</v>
      </c>
      <c r="AV386" s="249">
        <f t="shared" si="286"/>
        <v>0</v>
      </c>
    </row>
    <row r="387" spans="1:48" outlineLevel="1" x14ac:dyDescent="0.25">
      <c r="A387" s="4" t="s">
        <v>365</v>
      </c>
      <c r="B387" s="75" t="s">
        <v>285</v>
      </c>
      <c r="C387" s="25"/>
      <c r="D387" s="92">
        <v>4</v>
      </c>
      <c r="E387" s="110">
        <v>100</v>
      </c>
      <c r="F387" s="93">
        <f>D387*E387</f>
        <v>400</v>
      </c>
      <c r="G387" s="74">
        <f t="shared" si="304"/>
        <v>0</v>
      </c>
      <c r="H387" s="95">
        <f t="shared" si="298"/>
        <v>400</v>
      </c>
      <c r="I387" s="112">
        <v>400</v>
      </c>
      <c r="J387" s="57"/>
      <c r="K387" s="57"/>
      <c r="L387" s="57"/>
      <c r="M387" s="57"/>
      <c r="N387" s="57"/>
      <c r="O387" s="57"/>
      <c r="P387" s="68"/>
      <c r="Q387" s="58"/>
      <c r="R387" s="93">
        <v>400</v>
      </c>
      <c r="S387" s="74">
        <f t="shared" si="299"/>
        <v>0</v>
      </c>
      <c r="T387" s="95">
        <f t="shared" si="338"/>
        <v>400</v>
      </c>
      <c r="U387" s="112">
        <v>400</v>
      </c>
      <c r="V387" s="57"/>
      <c r="W387" s="57"/>
      <c r="X387" s="57"/>
      <c r="Y387" s="57"/>
      <c r="Z387" s="57"/>
      <c r="AA387" s="57"/>
      <c r="AB387" s="68"/>
      <c r="AC387" s="58"/>
      <c r="AD387" s="170">
        <f>P387*Q387</f>
        <v>0</v>
      </c>
      <c r="AE387" s="89">
        <f t="shared" si="292"/>
        <v>0</v>
      </c>
      <c r="AF387" s="216">
        <f t="shared" si="293"/>
        <v>0</v>
      </c>
      <c r="AG387" s="147"/>
      <c r="AH387" s="148"/>
      <c r="AI387" s="148"/>
      <c r="AJ387" s="148"/>
      <c r="AK387" s="148"/>
      <c r="AL387" s="148"/>
      <c r="AM387" s="148"/>
      <c r="AN387" s="149"/>
      <c r="AO387" s="150"/>
      <c r="AP387" s="76"/>
      <c r="AQ387" s="76"/>
      <c r="AR387" s="128"/>
      <c r="AS387" s="108">
        <f t="shared" si="283"/>
        <v>1</v>
      </c>
      <c r="AT387" s="249">
        <f t="shared" si="284"/>
        <v>1</v>
      </c>
      <c r="AU387" s="249">
        <f t="shared" si="285"/>
        <v>0</v>
      </c>
      <c r="AV387" s="249">
        <f t="shared" si="286"/>
        <v>0</v>
      </c>
    </row>
    <row r="388" spans="1:48" outlineLevel="1" x14ac:dyDescent="0.25">
      <c r="A388" s="4" t="s">
        <v>1116</v>
      </c>
      <c r="B388" s="75" t="s">
        <v>47</v>
      </c>
      <c r="C388" s="25"/>
      <c r="D388" s="92"/>
      <c r="E388" s="110"/>
      <c r="F388" s="93">
        <f>D388*E388</f>
        <v>0</v>
      </c>
      <c r="G388" s="74">
        <f t="shared" si="304"/>
        <v>0</v>
      </c>
      <c r="H388" s="95">
        <f t="shared" si="298"/>
        <v>0</v>
      </c>
      <c r="I388" s="112">
        <f>F388</f>
        <v>0</v>
      </c>
      <c r="J388" s="57"/>
      <c r="K388" s="57"/>
      <c r="L388" s="57"/>
      <c r="M388" s="57"/>
      <c r="N388" s="57"/>
      <c r="O388" s="57"/>
      <c r="P388" s="68"/>
      <c r="Q388" s="58"/>
      <c r="R388" s="93">
        <f>P388*Q388</f>
        <v>0</v>
      </c>
      <c r="S388" s="74">
        <f t="shared" si="299"/>
        <v>0</v>
      </c>
      <c r="T388" s="95">
        <f t="shared" si="338"/>
        <v>0</v>
      </c>
      <c r="U388" s="112">
        <f>R388</f>
        <v>0</v>
      </c>
      <c r="V388" s="57"/>
      <c r="W388" s="57"/>
      <c r="X388" s="57"/>
      <c r="Y388" s="57"/>
      <c r="Z388" s="57"/>
      <c r="AA388" s="57"/>
      <c r="AB388" s="68"/>
      <c r="AC388" s="58"/>
      <c r="AD388" s="170">
        <v>148.74</v>
      </c>
      <c r="AE388" s="89">
        <f t="shared" si="292"/>
        <v>-148.74</v>
      </c>
      <c r="AF388" s="216">
        <f t="shared" si="293"/>
        <v>0</v>
      </c>
      <c r="AG388" s="147">
        <f>Q388</f>
        <v>0</v>
      </c>
      <c r="AH388" s="148"/>
      <c r="AI388" s="148"/>
      <c r="AJ388" s="148"/>
      <c r="AK388" s="148"/>
      <c r="AL388" s="148"/>
      <c r="AM388" s="148"/>
      <c r="AN388" s="149"/>
      <c r="AO388" s="150"/>
      <c r="AP388" s="76"/>
      <c r="AQ388" s="76"/>
      <c r="AR388" s="128"/>
      <c r="AS388" s="108"/>
      <c r="AT388" s="249"/>
      <c r="AU388" s="249"/>
      <c r="AV388" s="249"/>
    </row>
    <row r="389" spans="1:48" s="280" customFormat="1" ht="15.75" x14ac:dyDescent="0.25">
      <c r="A389" s="270" t="s">
        <v>367</v>
      </c>
      <c r="B389" s="271" t="s">
        <v>248</v>
      </c>
      <c r="C389" s="272"/>
      <c r="D389" s="273"/>
      <c r="E389" s="274"/>
      <c r="F389" s="264">
        <f>SUM(F390:F393)</f>
        <v>5000</v>
      </c>
      <c r="G389" s="265">
        <f t="shared" si="304"/>
        <v>0</v>
      </c>
      <c r="H389" s="275">
        <f t="shared" si="298"/>
        <v>5000</v>
      </c>
      <c r="I389" s="267">
        <f t="shared" ref="I389:Q389" si="339">SUM(I390:I393)</f>
        <v>0</v>
      </c>
      <c r="J389" s="268">
        <f t="shared" si="339"/>
        <v>1500</v>
      </c>
      <c r="K389" s="268">
        <f t="shared" si="339"/>
        <v>0</v>
      </c>
      <c r="L389" s="268">
        <f t="shared" si="339"/>
        <v>0</v>
      </c>
      <c r="M389" s="268">
        <f t="shared" si="339"/>
        <v>0</v>
      </c>
      <c r="N389" s="268">
        <f t="shared" si="339"/>
        <v>0</v>
      </c>
      <c r="O389" s="268">
        <f t="shared" si="339"/>
        <v>0</v>
      </c>
      <c r="P389" s="268">
        <f t="shared" si="339"/>
        <v>0</v>
      </c>
      <c r="Q389" s="269">
        <f t="shared" si="339"/>
        <v>3500</v>
      </c>
      <c r="R389" s="264">
        <f>SUM(R390:R393)</f>
        <v>5000</v>
      </c>
      <c r="S389" s="265">
        <f t="shared" si="299"/>
        <v>0</v>
      </c>
      <c r="T389" s="275">
        <f t="shared" si="338"/>
        <v>5000</v>
      </c>
      <c r="U389" s="267">
        <f t="shared" ref="U389:AC389" si="340">SUM(U390:U393)</f>
        <v>0</v>
      </c>
      <c r="V389" s="268">
        <f t="shared" si="340"/>
        <v>1500</v>
      </c>
      <c r="W389" s="268">
        <f t="shared" si="340"/>
        <v>0</v>
      </c>
      <c r="X389" s="268">
        <f t="shared" si="340"/>
        <v>0</v>
      </c>
      <c r="Y389" s="268">
        <f t="shared" si="340"/>
        <v>0</v>
      </c>
      <c r="Z389" s="268">
        <f t="shared" si="340"/>
        <v>0</v>
      </c>
      <c r="AA389" s="268">
        <f t="shared" si="340"/>
        <v>0</v>
      </c>
      <c r="AB389" s="268">
        <f t="shared" si="340"/>
        <v>0</v>
      </c>
      <c r="AC389" s="269">
        <f t="shared" si="340"/>
        <v>3500</v>
      </c>
      <c r="AD389" s="264">
        <f>SUM(AD390:AD393)</f>
        <v>774.68</v>
      </c>
      <c r="AE389" s="265">
        <f t="shared" si="292"/>
        <v>-774.68</v>
      </c>
      <c r="AF389" s="266">
        <f t="shared" si="293"/>
        <v>0</v>
      </c>
      <c r="AG389" s="267">
        <f t="shared" ref="AG389:AO389" si="341">SUM(AG390:AG393)</f>
        <v>0</v>
      </c>
      <c r="AH389" s="268">
        <f t="shared" si="341"/>
        <v>0</v>
      </c>
      <c r="AI389" s="268">
        <f t="shared" si="341"/>
        <v>0</v>
      </c>
      <c r="AJ389" s="268">
        <f t="shared" si="341"/>
        <v>0</v>
      </c>
      <c r="AK389" s="268">
        <f t="shared" si="341"/>
        <v>0</v>
      </c>
      <c r="AL389" s="268">
        <f t="shared" si="341"/>
        <v>0</v>
      </c>
      <c r="AM389" s="268">
        <f t="shared" si="341"/>
        <v>0</v>
      </c>
      <c r="AN389" s="268">
        <f t="shared" si="341"/>
        <v>0</v>
      </c>
      <c r="AO389" s="269">
        <f t="shared" si="341"/>
        <v>0</v>
      </c>
      <c r="AP389" s="276">
        <v>2500</v>
      </c>
      <c r="AQ389" s="276">
        <f>SUM(AQ390:AQ393)</f>
        <v>0</v>
      </c>
      <c r="AR389" s="277">
        <f>AQ389*100/AP389</f>
        <v>0</v>
      </c>
      <c r="AS389" s="278">
        <f t="shared" ref="AS389:AS452" si="342">+R389/F389</f>
        <v>1</v>
      </c>
      <c r="AT389" s="279">
        <f t="shared" ref="AT389:AT452" si="343">+T389/H389</f>
        <v>1</v>
      </c>
      <c r="AU389" s="279">
        <f t="shared" ref="AU389:AU452" si="344">+AD389/F389</f>
        <v>0.15493599999999999</v>
      </c>
      <c r="AV389" s="279">
        <f t="shared" ref="AV389:AV452" si="345">+AF389/H389</f>
        <v>0</v>
      </c>
    </row>
    <row r="390" spans="1:48" outlineLevel="1" x14ac:dyDescent="0.25">
      <c r="A390" s="4" t="s">
        <v>368</v>
      </c>
      <c r="B390" s="75" t="s">
        <v>311</v>
      </c>
      <c r="C390" s="25"/>
      <c r="D390" s="92">
        <v>1</v>
      </c>
      <c r="E390" s="110">
        <v>2500</v>
      </c>
      <c r="F390" s="93">
        <f>D390*E390</f>
        <v>2500</v>
      </c>
      <c r="G390" s="74">
        <f t="shared" si="304"/>
        <v>0</v>
      </c>
      <c r="H390" s="95">
        <f t="shared" si="298"/>
        <v>2500</v>
      </c>
      <c r="I390" s="112"/>
      <c r="J390" s="57">
        <v>1500</v>
      </c>
      <c r="K390" s="57"/>
      <c r="L390" s="57"/>
      <c r="M390" s="57"/>
      <c r="N390" s="57"/>
      <c r="O390" s="57"/>
      <c r="P390" s="68"/>
      <c r="Q390" s="58">
        <v>1000</v>
      </c>
      <c r="R390" s="93">
        <v>2500</v>
      </c>
      <c r="S390" s="74">
        <f t="shared" si="299"/>
        <v>0</v>
      </c>
      <c r="T390" s="95">
        <f t="shared" si="338"/>
        <v>2500</v>
      </c>
      <c r="U390" s="112"/>
      <c r="V390" s="57">
        <v>1500</v>
      </c>
      <c r="W390" s="57"/>
      <c r="X390" s="57"/>
      <c r="Y390" s="57"/>
      <c r="Z390" s="57"/>
      <c r="AA390" s="57"/>
      <c r="AB390" s="68"/>
      <c r="AC390" s="58">
        <v>1000</v>
      </c>
      <c r="AD390" s="170">
        <f>P390*Q390</f>
        <v>0</v>
      </c>
      <c r="AE390" s="89">
        <f t="shared" si="292"/>
        <v>0</v>
      </c>
      <c r="AF390" s="216">
        <f t="shared" si="293"/>
        <v>0</v>
      </c>
      <c r="AG390" s="147"/>
      <c r="AH390" s="148"/>
      <c r="AI390" s="148"/>
      <c r="AJ390" s="148"/>
      <c r="AK390" s="148"/>
      <c r="AL390" s="148"/>
      <c r="AM390" s="148"/>
      <c r="AN390" s="149"/>
      <c r="AO390" s="150"/>
      <c r="AP390" s="76"/>
      <c r="AQ390" s="76"/>
      <c r="AR390" s="128"/>
      <c r="AS390" s="108">
        <f t="shared" si="342"/>
        <v>1</v>
      </c>
      <c r="AT390" s="249">
        <f t="shared" si="343"/>
        <v>1</v>
      </c>
      <c r="AU390" s="249">
        <f t="shared" si="344"/>
        <v>0</v>
      </c>
      <c r="AV390" s="249">
        <f t="shared" si="345"/>
        <v>0</v>
      </c>
    </row>
    <row r="391" spans="1:48" outlineLevel="1" x14ac:dyDescent="0.25">
      <c r="A391" s="4" t="s">
        <v>369</v>
      </c>
      <c r="B391" s="75" t="s">
        <v>890</v>
      </c>
      <c r="C391" s="25"/>
      <c r="D391" s="92">
        <v>1</v>
      </c>
      <c r="E391" s="110">
        <v>1500</v>
      </c>
      <c r="F391" s="93">
        <f>D391*E391</f>
        <v>1500</v>
      </c>
      <c r="G391" s="74">
        <f t="shared" si="304"/>
        <v>0</v>
      </c>
      <c r="H391" s="95">
        <f t="shared" si="298"/>
        <v>1500</v>
      </c>
      <c r="I391" s="112"/>
      <c r="J391" s="57"/>
      <c r="K391" s="57"/>
      <c r="L391" s="57"/>
      <c r="M391" s="57"/>
      <c r="N391" s="57"/>
      <c r="O391" s="57"/>
      <c r="P391" s="68"/>
      <c r="Q391" s="58">
        <v>1500</v>
      </c>
      <c r="R391" s="93">
        <v>1500</v>
      </c>
      <c r="S391" s="74">
        <f t="shared" si="299"/>
        <v>0</v>
      </c>
      <c r="T391" s="95">
        <f t="shared" si="338"/>
        <v>1500</v>
      </c>
      <c r="U391" s="112"/>
      <c r="V391" s="57"/>
      <c r="W391" s="57"/>
      <c r="X391" s="57"/>
      <c r="Y391" s="57"/>
      <c r="Z391" s="57"/>
      <c r="AA391" s="57"/>
      <c r="AB391" s="68"/>
      <c r="AC391" s="58">
        <v>1500</v>
      </c>
      <c r="AD391" s="170">
        <v>774.68</v>
      </c>
      <c r="AE391" s="89">
        <f t="shared" si="292"/>
        <v>-774.68</v>
      </c>
      <c r="AF391" s="216">
        <f t="shared" si="293"/>
        <v>0</v>
      </c>
      <c r="AG391" s="147"/>
      <c r="AH391" s="148"/>
      <c r="AI391" s="148"/>
      <c r="AJ391" s="148"/>
      <c r="AK391" s="148"/>
      <c r="AL391" s="148"/>
      <c r="AM391" s="148"/>
      <c r="AN391" s="149"/>
      <c r="AO391" s="150"/>
      <c r="AP391" s="76"/>
      <c r="AQ391" s="76"/>
      <c r="AR391" s="128"/>
      <c r="AS391" s="108">
        <f t="shared" si="342"/>
        <v>1</v>
      </c>
      <c r="AT391" s="249">
        <f t="shared" si="343"/>
        <v>1</v>
      </c>
      <c r="AU391" s="249">
        <f t="shared" si="344"/>
        <v>0.51645333333333332</v>
      </c>
      <c r="AV391" s="249">
        <f t="shared" si="345"/>
        <v>0</v>
      </c>
    </row>
    <row r="392" spans="1:48" outlineLevel="1" x14ac:dyDescent="0.25">
      <c r="A392" s="4" t="s">
        <v>370</v>
      </c>
      <c r="B392" s="75" t="s">
        <v>536</v>
      </c>
      <c r="C392" s="25"/>
      <c r="D392" s="92">
        <v>1</v>
      </c>
      <c r="E392" s="110">
        <v>1000</v>
      </c>
      <c r="F392" s="93">
        <f>D392*E392</f>
        <v>1000</v>
      </c>
      <c r="G392" s="74">
        <f>H392-F392</f>
        <v>0</v>
      </c>
      <c r="H392" s="95">
        <f t="shared" si="298"/>
        <v>1000</v>
      </c>
      <c r="I392" s="112"/>
      <c r="J392" s="57"/>
      <c r="K392" s="57"/>
      <c r="L392" s="57"/>
      <c r="M392" s="57"/>
      <c r="N392" s="57"/>
      <c r="O392" s="57"/>
      <c r="P392" s="68"/>
      <c r="Q392" s="58">
        <v>1000</v>
      </c>
      <c r="R392" s="93">
        <v>1000</v>
      </c>
      <c r="S392" s="74">
        <f>T392-R392</f>
        <v>0</v>
      </c>
      <c r="T392" s="95">
        <f t="shared" si="338"/>
        <v>1000</v>
      </c>
      <c r="U392" s="112"/>
      <c r="V392" s="57"/>
      <c r="W392" s="57"/>
      <c r="X392" s="57"/>
      <c r="Y392" s="57"/>
      <c r="Z392" s="57"/>
      <c r="AA392" s="57"/>
      <c r="AB392" s="68"/>
      <c r="AC392" s="58">
        <v>1000</v>
      </c>
      <c r="AD392" s="170">
        <f>P392*Q392</f>
        <v>0</v>
      </c>
      <c r="AE392" s="89">
        <f t="shared" si="292"/>
        <v>0</v>
      </c>
      <c r="AF392" s="216">
        <f t="shared" si="293"/>
        <v>0</v>
      </c>
      <c r="AG392" s="147"/>
      <c r="AH392" s="148"/>
      <c r="AI392" s="148"/>
      <c r="AJ392" s="148"/>
      <c r="AK392" s="148"/>
      <c r="AL392" s="148"/>
      <c r="AM392" s="148"/>
      <c r="AN392" s="149"/>
      <c r="AO392" s="150"/>
      <c r="AP392" s="76"/>
      <c r="AQ392" s="76"/>
      <c r="AR392" s="128"/>
      <c r="AS392" s="108">
        <f t="shared" si="342"/>
        <v>1</v>
      </c>
      <c r="AT392" s="249">
        <f t="shared" si="343"/>
        <v>1</v>
      </c>
      <c r="AU392" s="249">
        <f t="shared" si="344"/>
        <v>0</v>
      </c>
      <c r="AV392" s="249">
        <f t="shared" si="345"/>
        <v>0</v>
      </c>
    </row>
    <row r="393" spans="1:48" outlineLevel="1" x14ac:dyDescent="0.25">
      <c r="A393" s="4" t="s">
        <v>1117</v>
      </c>
      <c r="B393" s="75" t="s">
        <v>47</v>
      </c>
      <c r="C393" s="25"/>
      <c r="D393" s="92"/>
      <c r="E393" s="110"/>
      <c r="F393" s="93">
        <f>D393*E393</f>
        <v>0</v>
      </c>
      <c r="G393" s="74">
        <f t="shared" si="304"/>
        <v>0</v>
      </c>
      <c r="H393" s="95">
        <f t="shared" si="298"/>
        <v>0</v>
      </c>
      <c r="I393" s="112"/>
      <c r="J393" s="57"/>
      <c r="K393" s="57"/>
      <c r="L393" s="57"/>
      <c r="M393" s="57"/>
      <c r="N393" s="57"/>
      <c r="O393" s="57"/>
      <c r="P393" s="68"/>
      <c r="Q393" s="58"/>
      <c r="R393" s="93">
        <f>P393*Q393</f>
        <v>0</v>
      </c>
      <c r="S393" s="74">
        <f t="shared" ref="S393:S420" si="346">T393-R393</f>
        <v>0</v>
      </c>
      <c r="T393" s="95">
        <f t="shared" si="338"/>
        <v>0</v>
      </c>
      <c r="U393" s="112"/>
      <c r="V393" s="57"/>
      <c r="W393" s="57"/>
      <c r="X393" s="57"/>
      <c r="Y393" s="57"/>
      <c r="Z393" s="57"/>
      <c r="AA393" s="57"/>
      <c r="AB393" s="68"/>
      <c r="AC393" s="58"/>
      <c r="AD393" s="170">
        <f>P393*Q393</f>
        <v>0</v>
      </c>
      <c r="AE393" s="89">
        <f t="shared" si="292"/>
        <v>0</v>
      </c>
      <c r="AF393" s="216">
        <f t="shared" si="293"/>
        <v>0</v>
      </c>
      <c r="AG393" s="147"/>
      <c r="AH393" s="148"/>
      <c r="AI393" s="148"/>
      <c r="AJ393" s="148"/>
      <c r="AK393" s="148"/>
      <c r="AL393" s="148"/>
      <c r="AM393" s="148"/>
      <c r="AN393" s="149"/>
      <c r="AO393" s="150"/>
      <c r="AP393" s="76"/>
      <c r="AQ393" s="76"/>
      <c r="AR393" s="128"/>
      <c r="AS393" s="108"/>
      <c r="AT393" s="249"/>
      <c r="AU393" s="249"/>
      <c r="AV393" s="249"/>
    </row>
    <row r="394" spans="1:48" s="280" customFormat="1" ht="15.75" x14ac:dyDescent="0.25">
      <c r="A394" s="270" t="s">
        <v>371</v>
      </c>
      <c r="B394" s="271" t="s">
        <v>888</v>
      </c>
      <c r="C394" s="272"/>
      <c r="D394" s="273"/>
      <c r="E394" s="274"/>
      <c r="F394" s="264">
        <f>SUM(F395:F397)</f>
        <v>9000</v>
      </c>
      <c r="G394" s="265">
        <f t="shared" si="304"/>
        <v>0</v>
      </c>
      <c r="H394" s="275">
        <f t="shared" si="298"/>
        <v>9000</v>
      </c>
      <c r="I394" s="267">
        <f t="shared" ref="I394:Q394" si="347">SUM(I395:I397)</f>
        <v>1000</v>
      </c>
      <c r="J394" s="268">
        <f t="shared" si="347"/>
        <v>0</v>
      </c>
      <c r="K394" s="268">
        <f t="shared" si="347"/>
        <v>0</v>
      </c>
      <c r="L394" s="268">
        <f t="shared" si="347"/>
        <v>0</v>
      </c>
      <c r="M394" s="268">
        <f t="shared" si="347"/>
        <v>0</v>
      </c>
      <c r="N394" s="268">
        <f t="shared" si="347"/>
        <v>0</v>
      </c>
      <c r="O394" s="268">
        <f t="shared" si="347"/>
        <v>0</v>
      </c>
      <c r="P394" s="268">
        <f t="shared" si="347"/>
        <v>0</v>
      </c>
      <c r="Q394" s="269">
        <f t="shared" si="347"/>
        <v>8000</v>
      </c>
      <c r="R394" s="264">
        <f>SUM(R395:R397)</f>
        <v>9000</v>
      </c>
      <c r="S394" s="265">
        <f t="shared" si="346"/>
        <v>0</v>
      </c>
      <c r="T394" s="275">
        <f t="shared" si="338"/>
        <v>9000</v>
      </c>
      <c r="U394" s="267">
        <f t="shared" ref="U394:AC394" si="348">SUM(U395:U397)</f>
        <v>1000</v>
      </c>
      <c r="V394" s="268">
        <f t="shared" si="348"/>
        <v>0</v>
      </c>
      <c r="W394" s="268">
        <f t="shared" si="348"/>
        <v>0</v>
      </c>
      <c r="X394" s="268">
        <f t="shared" si="348"/>
        <v>0</v>
      </c>
      <c r="Y394" s="268">
        <f t="shared" si="348"/>
        <v>0</v>
      </c>
      <c r="Z394" s="268">
        <f t="shared" si="348"/>
        <v>0</v>
      </c>
      <c r="AA394" s="268">
        <f t="shared" si="348"/>
        <v>0</v>
      </c>
      <c r="AB394" s="268">
        <f t="shared" si="348"/>
        <v>0</v>
      </c>
      <c r="AC394" s="269">
        <f t="shared" si="348"/>
        <v>8000</v>
      </c>
      <c r="AD394" s="264">
        <f>SUM(AD395:AD397)</f>
        <v>679.88</v>
      </c>
      <c r="AE394" s="265">
        <f t="shared" si="292"/>
        <v>-679.88</v>
      </c>
      <c r="AF394" s="266">
        <f t="shared" si="293"/>
        <v>0</v>
      </c>
      <c r="AG394" s="267">
        <f t="shared" ref="AG394:AO394" si="349">SUM(AG395:AG397)</f>
        <v>0</v>
      </c>
      <c r="AH394" s="268">
        <f t="shared" si="349"/>
        <v>0</v>
      </c>
      <c r="AI394" s="268">
        <f t="shared" si="349"/>
        <v>0</v>
      </c>
      <c r="AJ394" s="268">
        <f t="shared" si="349"/>
        <v>0</v>
      </c>
      <c r="AK394" s="268">
        <f t="shared" si="349"/>
        <v>0</v>
      </c>
      <c r="AL394" s="268">
        <f t="shared" si="349"/>
        <v>0</v>
      </c>
      <c r="AM394" s="268">
        <f t="shared" si="349"/>
        <v>0</v>
      </c>
      <c r="AN394" s="268">
        <f t="shared" si="349"/>
        <v>0</v>
      </c>
      <c r="AO394" s="269">
        <f t="shared" si="349"/>
        <v>0</v>
      </c>
      <c r="AP394" s="276">
        <v>9500</v>
      </c>
      <c r="AQ394" s="276">
        <f>8817.57+29.2</f>
        <v>8846.77</v>
      </c>
      <c r="AR394" s="277">
        <f>AQ394*100/AP394</f>
        <v>93.123894736842104</v>
      </c>
      <c r="AS394" s="278">
        <f t="shared" si="342"/>
        <v>1</v>
      </c>
      <c r="AT394" s="279">
        <f t="shared" si="343"/>
        <v>1</v>
      </c>
      <c r="AU394" s="279">
        <f t="shared" si="344"/>
        <v>7.5542222222222219E-2</v>
      </c>
      <c r="AV394" s="279">
        <f t="shared" si="345"/>
        <v>0</v>
      </c>
    </row>
    <row r="395" spans="1:48" outlineLevel="1" x14ac:dyDescent="0.25">
      <c r="A395" s="4" t="s">
        <v>372</v>
      </c>
      <c r="B395" s="75" t="s">
        <v>148</v>
      </c>
      <c r="C395" s="25"/>
      <c r="D395" s="92">
        <v>1</v>
      </c>
      <c r="E395" s="110">
        <v>3000</v>
      </c>
      <c r="F395" s="93">
        <v>4000</v>
      </c>
      <c r="G395" s="74">
        <f t="shared" si="304"/>
        <v>0</v>
      </c>
      <c r="H395" s="95">
        <f t="shared" si="298"/>
        <v>4000</v>
      </c>
      <c r="I395" s="112">
        <v>1000</v>
      </c>
      <c r="J395" s="57"/>
      <c r="K395" s="57"/>
      <c r="L395" s="57"/>
      <c r="M395" s="57"/>
      <c r="N395" s="57"/>
      <c r="O395" s="57"/>
      <c r="P395" s="68"/>
      <c r="Q395" s="58">
        <v>3000</v>
      </c>
      <c r="R395" s="93">
        <v>4000</v>
      </c>
      <c r="S395" s="74">
        <f t="shared" si="346"/>
        <v>0</v>
      </c>
      <c r="T395" s="95">
        <f t="shared" si="338"/>
        <v>4000</v>
      </c>
      <c r="U395" s="112">
        <v>1000</v>
      </c>
      <c r="V395" s="57"/>
      <c r="W395" s="57"/>
      <c r="X395" s="57"/>
      <c r="Y395" s="57"/>
      <c r="Z395" s="57"/>
      <c r="AA395" s="57"/>
      <c r="AB395" s="68"/>
      <c r="AC395" s="58">
        <v>3000</v>
      </c>
      <c r="AD395" s="170">
        <f>P395*Q395</f>
        <v>0</v>
      </c>
      <c r="AE395" s="89">
        <f t="shared" ref="AE395:AE463" si="350">AF395-AD395</f>
        <v>0</v>
      </c>
      <c r="AF395" s="216">
        <f t="shared" ref="AF395:AF463" si="351">+AG395+AH395+AI395+AJ395+AK395+AL395+AM395+AN395+AO395</f>
        <v>0</v>
      </c>
      <c r="AG395" s="147"/>
      <c r="AH395" s="148"/>
      <c r="AI395" s="148"/>
      <c r="AJ395" s="148"/>
      <c r="AK395" s="148"/>
      <c r="AL395" s="148"/>
      <c r="AM395" s="148"/>
      <c r="AN395" s="149"/>
      <c r="AO395" s="150"/>
      <c r="AP395" s="76"/>
      <c r="AQ395" s="76"/>
      <c r="AR395" s="128"/>
      <c r="AS395" s="108">
        <f t="shared" si="342"/>
        <v>1</v>
      </c>
      <c r="AT395" s="249">
        <f t="shared" si="343"/>
        <v>1</v>
      </c>
      <c r="AU395" s="249">
        <f t="shared" si="344"/>
        <v>0</v>
      </c>
      <c r="AV395" s="249">
        <f t="shared" si="345"/>
        <v>0</v>
      </c>
    </row>
    <row r="396" spans="1:48" outlineLevel="1" x14ac:dyDescent="0.25">
      <c r="A396" s="6" t="s">
        <v>373</v>
      </c>
      <c r="B396" s="75" t="s">
        <v>149</v>
      </c>
      <c r="C396" s="25"/>
      <c r="D396" s="92">
        <v>1</v>
      </c>
      <c r="E396" s="110">
        <v>2500</v>
      </c>
      <c r="F396" s="93">
        <f>D396*E396</f>
        <v>2500</v>
      </c>
      <c r="G396" s="74">
        <f t="shared" si="304"/>
        <v>0</v>
      </c>
      <c r="H396" s="95">
        <f t="shared" si="298"/>
        <v>2500</v>
      </c>
      <c r="I396" s="112"/>
      <c r="J396" s="57"/>
      <c r="K396" s="57"/>
      <c r="L396" s="57"/>
      <c r="M396" s="57"/>
      <c r="N396" s="57"/>
      <c r="O396" s="57"/>
      <c r="P396" s="68"/>
      <c r="Q396" s="58">
        <v>2500</v>
      </c>
      <c r="R396" s="93">
        <v>2500</v>
      </c>
      <c r="S396" s="74">
        <f t="shared" si="346"/>
        <v>0</v>
      </c>
      <c r="T396" s="95">
        <f t="shared" si="338"/>
        <v>2500</v>
      </c>
      <c r="U396" s="112"/>
      <c r="V396" s="57"/>
      <c r="W396" s="57"/>
      <c r="X396" s="57"/>
      <c r="Y396" s="57"/>
      <c r="Z396" s="57"/>
      <c r="AA396" s="57"/>
      <c r="AB396" s="68"/>
      <c r="AC396" s="58">
        <v>2500</v>
      </c>
      <c r="AD396" s="170">
        <v>254.95</v>
      </c>
      <c r="AE396" s="89">
        <f t="shared" si="350"/>
        <v>-254.95</v>
      </c>
      <c r="AF396" s="216">
        <f t="shared" si="351"/>
        <v>0</v>
      </c>
      <c r="AG396" s="147"/>
      <c r="AH396" s="148"/>
      <c r="AI396" s="148"/>
      <c r="AJ396" s="148"/>
      <c r="AK396" s="148"/>
      <c r="AL396" s="148"/>
      <c r="AM396" s="148"/>
      <c r="AN396" s="149"/>
      <c r="AO396" s="150"/>
      <c r="AP396" s="76"/>
      <c r="AQ396" s="76"/>
      <c r="AR396" s="128"/>
      <c r="AS396" s="108">
        <f t="shared" si="342"/>
        <v>1</v>
      </c>
      <c r="AT396" s="249">
        <f t="shared" si="343"/>
        <v>1</v>
      </c>
      <c r="AU396" s="249">
        <f t="shared" si="344"/>
        <v>0.10198</v>
      </c>
      <c r="AV396" s="249">
        <f t="shared" si="345"/>
        <v>0</v>
      </c>
    </row>
    <row r="397" spans="1:48" outlineLevel="1" x14ac:dyDescent="0.25">
      <c r="A397" s="4" t="s">
        <v>858</v>
      </c>
      <c r="B397" s="75" t="s">
        <v>889</v>
      </c>
      <c r="C397" s="25"/>
      <c r="D397" s="92">
        <v>1</v>
      </c>
      <c r="E397" s="110">
        <v>2500</v>
      </c>
      <c r="F397" s="93">
        <f>D397*E397</f>
        <v>2500</v>
      </c>
      <c r="G397" s="74">
        <f t="shared" si="304"/>
        <v>0</v>
      </c>
      <c r="H397" s="95">
        <f t="shared" si="298"/>
        <v>2500</v>
      </c>
      <c r="I397" s="112"/>
      <c r="J397" s="57"/>
      <c r="K397" s="57"/>
      <c r="L397" s="57"/>
      <c r="M397" s="57"/>
      <c r="N397" s="57"/>
      <c r="O397" s="57"/>
      <c r="P397" s="68"/>
      <c r="Q397" s="58">
        <v>2500</v>
      </c>
      <c r="R397" s="93">
        <v>2500</v>
      </c>
      <c r="S397" s="74">
        <f t="shared" si="346"/>
        <v>0</v>
      </c>
      <c r="T397" s="95">
        <f t="shared" si="338"/>
        <v>2500</v>
      </c>
      <c r="U397" s="112"/>
      <c r="V397" s="57"/>
      <c r="W397" s="57"/>
      <c r="X397" s="57"/>
      <c r="Y397" s="57"/>
      <c r="Z397" s="57"/>
      <c r="AA397" s="57"/>
      <c r="AB397" s="68"/>
      <c r="AC397" s="58">
        <v>2500</v>
      </c>
      <c r="AD397" s="170">
        <v>424.93</v>
      </c>
      <c r="AE397" s="89">
        <f t="shared" si="350"/>
        <v>-424.93</v>
      </c>
      <c r="AF397" s="216">
        <f t="shared" si="351"/>
        <v>0</v>
      </c>
      <c r="AG397" s="147"/>
      <c r="AH397" s="148"/>
      <c r="AI397" s="148"/>
      <c r="AJ397" s="148"/>
      <c r="AK397" s="148"/>
      <c r="AL397" s="148"/>
      <c r="AM397" s="148"/>
      <c r="AN397" s="149"/>
      <c r="AO397" s="150"/>
      <c r="AP397" s="76"/>
      <c r="AQ397" s="76"/>
      <c r="AR397" s="128"/>
      <c r="AS397" s="108">
        <f t="shared" si="342"/>
        <v>1</v>
      </c>
      <c r="AT397" s="249">
        <f t="shared" si="343"/>
        <v>1</v>
      </c>
      <c r="AU397" s="249">
        <f t="shared" si="344"/>
        <v>0.16997200000000001</v>
      </c>
      <c r="AV397" s="249">
        <f t="shared" si="345"/>
        <v>0</v>
      </c>
    </row>
    <row r="398" spans="1:48" s="280" customFormat="1" ht="15.75" x14ac:dyDescent="0.25">
      <c r="A398" s="270" t="s">
        <v>374</v>
      </c>
      <c r="B398" s="271" t="s">
        <v>250</v>
      </c>
      <c r="C398" s="272"/>
      <c r="D398" s="273"/>
      <c r="E398" s="274"/>
      <c r="F398" s="264">
        <f>SUM(F399:F403)</f>
        <v>8500</v>
      </c>
      <c r="G398" s="265">
        <f t="shared" si="304"/>
        <v>0</v>
      </c>
      <c r="H398" s="275">
        <f t="shared" si="298"/>
        <v>8500</v>
      </c>
      <c r="I398" s="267">
        <f t="shared" ref="I398:Q398" si="352">SUM(I399:I403)</f>
        <v>3000</v>
      </c>
      <c r="J398" s="268">
        <f t="shared" si="352"/>
        <v>0</v>
      </c>
      <c r="K398" s="268">
        <f t="shared" si="352"/>
        <v>0</v>
      </c>
      <c r="L398" s="268">
        <f t="shared" si="352"/>
        <v>0</v>
      </c>
      <c r="M398" s="268">
        <f t="shared" si="352"/>
        <v>0</v>
      </c>
      <c r="N398" s="268">
        <f t="shared" si="352"/>
        <v>0</v>
      </c>
      <c r="O398" s="268">
        <f t="shared" si="352"/>
        <v>0</v>
      </c>
      <c r="P398" s="268">
        <f t="shared" si="352"/>
        <v>0</v>
      </c>
      <c r="Q398" s="269">
        <f t="shared" si="352"/>
        <v>5500</v>
      </c>
      <c r="R398" s="264">
        <f>SUM(R399:R404)</f>
        <v>8500</v>
      </c>
      <c r="S398" s="265">
        <f t="shared" si="346"/>
        <v>0</v>
      </c>
      <c r="T398" s="275">
        <f t="shared" si="338"/>
        <v>8500</v>
      </c>
      <c r="U398" s="267">
        <f>SUM(U399:U404)</f>
        <v>3000</v>
      </c>
      <c r="V398" s="267">
        <f t="shared" ref="V398:AC398" si="353">SUM(V399:V404)</f>
        <v>0</v>
      </c>
      <c r="W398" s="267">
        <f t="shared" si="353"/>
        <v>0</v>
      </c>
      <c r="X398" s="267">
        <f t="shared" si="353"/>
        <v>0</v>
      </c>
      <c r="Y398" s="267">
        <f t="shared" si="353"/>
        <v>0</v>
      </c>
      <c r="Z398" s="267">
        <f t="shared" si="353"/>
        <v>0</v>
      </c>
      <c r="AA398" s="267">
        <f t="shared" si="353"/>
        <v>0</v>
      </c>
      <c r="AB398" s="267">
        <f t="shared" si="353"/>
        <v>0</v>
      </c>
      <c r="AC398" s="267">
        <f t="shared" si="353"/>
        <v>5500</v>
      </c>
      <c r="AD398" s="264">
        <f>SUM(AD399:AD404)</f>
        <v>553.81999999999994</v>
      </c>
      <c r="AE398" s="265">
        <f t="shared" si="350"/>
        <v>-553.81999999999994</v>
      </c>
      <c r="AF398" s="266">
        <f t="shared" si="351"/>
        <v>0</v>
      </c>
      <c r="AG398" s="267">
        <f>SUM(AG399:AG404)</f>
        <v>0</v>
      </c>
      <c r="AH398" s="267">
        <f t="shared" ref="AH398:AO398" si="354">SUM(AH399:AH404)</f>
        <v>0</v>
      </c>
      <c r="AI398" s="267">
        <f t="shared" si="354"/>
        <v>0</v>
      </c>
      <c r="AJ398" s="267">
        <f t="shared" si="354"/>
        <v>0</v>
      </c>
      <c r="AK398" s="267">
        <f t="shared" si="354"/>
        <v>0</v>
      </c>
      <c r="AL398" s="267">
        <f t="shared" si="354"/>
        <v>0</v>
      </c>
      <c r="AM398" s="267">
        <f t="shared" si="354"/>
        <v>0</v>
      </c>
      <c r="AN398" s="267">
        <f t="shared" si="354"/>
        <v>0</v>
      </c>
      <c r="AO398" s="267">
        <f t="shared" si="354"/>
        <v>0</v>
      </c>
      <c r="AP398" s="276">
        <v>8000</v>
      </c>
      <c r="AQ398" s="276">
        <v>165.74</v>
      </c>
      <c r="AR398" s="277">
        <f>AQ398*100/AP398</f>
        <v>2.0717500000000002</v>
      </c>
      <c r="AS398" s="278">
        <f t="shared" si="342"/>
        <v>1</v>
      </c>
      <c r="AT398" s="279">
        <f t="shared" si="343"/>
        <v>1</v>
      </c>
      <c r="AU398" s="279">
        <f t="shared" si="344"/>
        <v>6.5155294117647047E-2</v>
      </c>
      <c r="AV398" s="279">
        <f t="shared" si="345"/>
        <v>0</v>
      </c>
    </row>
    <row r="399" spans="1:48" outlineLevel="1" x14ac:dyDescent="0.25">
      <c r="A399" s="4" t="s">
        <v>375</v>
      </c>
      <c r="B399" s="75" t="s">
        <v>855</v>
      </c>
      <c r="C399" s="25"/>
      <c r="D399" s="92">
        <v>1</v>
      </c>
      <c r="E399" s="110">
        <v>2000</v>
      </c>
      <c r="F399" s="93">
        <v>2500</v>
      </c>
      <c r="G399" s="74">
        <f t="shared" si="304"/>
        <v>0</v>
      </c>
      <c r="H399" s="95">
        <f t="shared" si="298"/>
        <v>2500</v>
      </c>
      <c r="I399" s="112"/>
      <c r="J399" s="57"/>
      <c r="K399" s="57"/>
      <c r="L399" s="57"/>
      <c r="M399" s="57"/>
      <c r="N399" s="57"/>
      <c r="O399" s="57"/>
      <c r="P399" s="68"/>
      <c r="Q399" s="58">
        <v>2500</v>
      </c>
      <c r="R399" s="93">
        <v>2500</v>
      </c>
      <c r="S399" s="74">
        <f t="shared" si="346"/>
        <v>0</v>
      </c>
      <c r="T399" s="95">
        <f t="shared" si="338"/>
        <v>2500</v>
      </c>
      <c r="U399" s="112"/>
      <c r="V399" s="57"/>
      <c r="W399" s="57"/>
      <c r="X399" s="57"/>
      <c r="Y399" s="57"/>
      <c r="Z399" s="57"/>
      <c r="AA399" s="57"/>
      <c r="AB399" s="68"/>
      <c r="AC399" s="58">
        <v>2500</v>
      </c>
      <c r="AD399" s="170">
        <v>13.31</v>
      </c>
      <c r="AE399" s="89">
        <f t="shared" si="350"/>
        <v>-13.31</v>
      </c>
      <c r="AF399" s="216">
        <f t="shared" si="351"/>
        <v>0</v>
      </c>
      <c r="AG399" s="147"/>
      <c r="AH399" s="148"/>
      <c r="AI399" s="148"/>
      <c r="AJ399" s="148"/>
      <c r="AK399" s="148"/>
      <c r="AL399" s="148"/>
      <c r="AM399" s="148"/>
      <c r="AN399" s="149"/>
      <c r="AO399" s="150"/>
      <c r="AP399" s="76"/>
      <c r="AQ399" s="76"/>
      <c r="AR399" s="128"/>
      <c r="AS399" s="108">
        <f t="shared" si="342"/>
        <v>1</v>
      </c>
      <c r="AT399" s="249">
        <f t="shared" si="343"/>
        <v>1</v>
      </c>
      <c r="AU399" s="249">
        <f t="shared" si="344"/>
        <v>5.3240000000000006E-3</v>
      </c>
      <c r="AV399" s="249">
        <f t="shared" si="345"/>
        <v>0</v>
      </c>
    </row>
    <row r="400" spans="1:48" outlineLevel="1" x14ac:dyDescent="0.25">
      <c r="A400" s="4" t="s">
        <v>376</v>
      </c>
      <c r="B400" s="75" t="s">
        <v>990</v>
      </c>
      <c r="C400" s="25"/>
      <c r="D400" s="92">
        <v>1</v>
      </c>
      <c r="E400" s="110">
        <v>3000</v>
      </c>
      <c r="F400" s="93">
        <f>D400*E400</f>
        <v>3000</v>
      </c>
      <c r="G400" s="74">
        <f t="shared" si="304"/>
        <v>0</v>
      </c>
      <c r="H400" s="95">
        <f t="shared" si="298"/>
        <v>3000</v>
      </c>
      <c r="I400" s="112">
        <v>3000</v>
      </c>
      <c r="J400" s="57"/>
      <c r="K400" s="57"/>
      <c r="L400" s="57"/>
      <c r="M400" s="57"/>
      <c r="N400" s="57"/>
      <c r="O400" s="57"/>
      <c r="P400" s="68"/>
      <c r="Q400" s="58"/>
      <c r="R400" s="93">
        <v>3000</v>
      </c>
      <c r="S400" s="74">
        <f t="shared" si="346"/>
        <v>0</v>
      </c>
      <c r="T400" s="95">
        <f t="shared" si="338"/>
        <v>3000</v>
      </c>
      <c r="U400" s="112">
        <v>3000</v>
      </c>
      <c r="V400" s="57"/>
      <c r="W400" s="57"/>
      <c r="X400" s="57"/>
      <c r="Y400" s="57"/>
      <c r="Z400" s="57"/>
      <c r="AA400" s="57"/>
      <c r="AB400" s="68"/>
      <c r="AC400" s="58"/>
      <c r="AD400" s="170">
        <f>P400*Q400</f>
        <v>0</v>
      </c>
      <c r="AE400" s="89">
        <f t="shared" si="350"/>
        <v>0</v>
      </c>
      <c r="AF400" s="216">
        <f t="shared" si="351"/>
        <v>0</v>
      </c>
      <c r="AG400" s="147"/>
      <c r="AH400" s="148"/>
      <c r="AI400" s="148"/>
      <c r="AJ400" s="148"/>
      <c r="AK400" s="148"/>
      <c r="AL400" s="148"/>
      <c r="AM400" s="148"/>
      <c r="AN400" s="149"/>
      <c r="AO400" s="150"/>
      <c r="AP400" s="76"/>
      <c r="AQ400" s="76"/>
      <c r="AR400" s="128"/>
      <c r="AS400" s="108">
        <f t="shared" si="342"/>
        <v>1</v>
      </c>
      <c r="AT400" s="249">
        <f t="shared" si="343"/>
        <v>1</v>
      </c>
      <c r="AU400" s="249">
        <f t="shared" si="344"/>
        <v>0</v>
      </c>
      <c r="AV400" s="249">
        <f t="shared" si="345"/>
        <v>0</v>
      </c>
    </row>
    <row r="401" spans="1:48" outlineLevel="1" x14ac:dyDescent="0.25">
      <c r="A401" s="4" t="s">
        <v>377</v>
      </c>
      <c r="B401" s="75" t="s">
        <v>892</v>
      </c>
      <c r="C401" s="25"/>
      <c r="D401" s="92">
        <v>1</v>
      </c>
      <c r="E401" s="110">
        <v>1500</v>
      </c>
      <c r="F401" s="93">
        <f>D401*E401</f>
        <v>1500</v>
      </c>
      <c r="G401" s="74">
        <f t="shared" si="304"/>
        <v>0</v>
      </c>
      <c r="H401" s="95">
        <f t="shared" si="298"/>
        <v>1500</v>
      </c>
      <c r="I401" s="112"/>
      <c r="J401" s="57"/>
      <c r="K401" s="57"/>
      <c r="L401" s="57"/>
      <c r="M401" s="57"/>
      <c r="N401" s="57"/>
      <c r="O401" s="57"/>
      <c r="P401" s="68"/>
      <c r="Q401" s="58">
        <v>1500</v>
      </c>
      <c r="R401" s="93">
        <v>1500</v>
      </c>
      <c r="S401" s="74">
        <f t="shared" si="346"/>
        <v>0</v>
      </c>
      <c r="T401" s="95">
        <f t="shared" si="338"/>
        <v>1500</v>
      </c>
      <c r="U401" s="112"/>
      <c r="V401" s="57"/>
      <c r="W401" s="57"/>
      <c r="X401" s="57"/>
      <c r="Y401" s="57"/>
      <c r="Z401" s="57"/>
      <c r="AA401" s="57"/>
      <c r="AB401" s="68"/>
      <c r="AC401" s="58">
        <v>1500</v>
      </c>
      <c r="AD401" s="170">
        <f>P401*Q401</f>
        <v>0</v>
      </c>
      <c r="AE401" s="89">
        <f t="shared" si="350"/>
        <v>0</v>
      </c>
      <c r="AF401" s="216">
        <f t="shared" si="351"/>
        <v>0</v>
      </c>
      <c r="AG401" s="147"/>
      <c r="AH401" s="148"/>
      <c r="AI401" s="148"/>
      <c r="AJ401" s="148"/>
      <c r="AK401" s="148"/>
      <c r="AL401" s="148"/>
      <c r="AM401" s="148"/>
      <c r="AN401" s="149"/>
      <c r="AO401" s="150"/>
      <c r="AP401" s="76"/>
      <c r="AQ401" s="76"/>
      <c r="AR401" s="128"/>
      <c r="AS401" s="108">
        <f t="shared" si="342"/>
        <v>1</v>
      </c>
      <c r="AT401" s="249">
        <f t="shared" si="343"/>
        <v>1</v>
      </c>
      <c r="AU401" s="249">
        <f t="shared" si="344"/>
        <v>0</v>
      </c>
      <c r="AV401" s="249">
        <f t="shared" si="345"/>
        <v>0</v>
      </c>
    </row>
    <row r="402" spans="1:48" outlineLevel="1" x14ac:dyDescent="0.25">
      <c r="A402" s="4" t="s">
        <v>378</v>
      </c>
      <c r="B402" s="75" t="s">
        <v>981</v>
      </c>
      <c r="C402" s="25"/>
      <c r="D402" s="92">
        <v>1</v>
      </c>
      <c r="E402" s="110">
        <v>1500</v>
      </c>
      <c r="F402" s="93">
        <f>D402*E402</f>
        <v>1500</v>
      </c>
      <c r="G402" s="74">
        <f t="shared" si="304"/>
        <v>0</v>
      </c>
      <c r="H402" s="95">
        <f t="shared" si="298"/>
        <v>1500</v>
      </c>
      <c r="I402" s="112"/>
      <c r="J402" s="57"/>
      <c r="K402" s="57"/>
      <c r="L402" s="57"/>
      <c r="M402" s="57"/>
      <c r="N402" s="57"/>
      <c r="O402" s="57"/>
      <c r="P402" s="68"/>
      <c r="Q402" s="58">
        <v>1500</v>
      </c>
      <c r="R402" s="93">
        <v>1500</v>
      </c>
      <c r="S402" s="74">
        <f t="shared" si="346"/>
        <v>0</v>
      </c>
      <c r="T402" s="95">
        <f t="shared" si="338"/>
        <v>1500</v>
      </c>
      <c r="U402" s="112"/>
      <c r="V402" s="57"/>
      <c r="W402" s="57"/>
      <c r="X402" s="57"/>
      <c r="Y402" s="57"/>
      <c r="Z402" s="57"/>
      <c r="AA402" s="57"/>
      <c r="AB402" s="68"/>
      <c r="AC402" s="58">
        <v>1500</v>
      </c>
      <c r="AD402" s="170">
        <v>189.44</v>
      </c>
      <c r="AE402" s="89">
        <f t="shared" si="350"/>
        <v>-189.44</v>
      </c>
      <c r="AF402" s="216">
        <f t="shared" si="351"/>
        <v>0</v>
      </c>
      <c r="AG402" s="147"/>
      <c r="AH402" s="148"/>
      <c r="AI402" s="148"/>
      <c r="AJ402" s="148"/>
      <c r="AK402" s="148"/>
      <c r="AL402" s="148"/>
      <c r="AM402" s="148"/>
      <c r="AN402" s="149"/>
      <c r="AO402" s="150"/>
      <c r="AP402" s="76"/>
      <c r="AQ402" s="76"/>
      <c r="AR402" s="128"/>
      <c r="AS402" s="108">
        <f t="shared" si="342"/>
        <v>1</v>
      </c>
      <c r="AT402" s="249">
        <f t="shared" si="343"/>
        <v>1</v>
      </c>
      <c r="AU402" s="249">
        <f t="shared" si="344"/>
        <v>0.12629333333333334</v>
      </c>
      <c r="AV402" s="249">
        <f t="shared" si="345"/>
        <v>0</v>
      </c>
    </row>
    <row r="403" spans="1:48" outlineLevel="1" x14ac:dyDescent="0.25">
      <c r="A403" s="4" t="s">
        <v>860</v>
      </c>
      <c r="B403" s="75" t="s">
        <v>1119</v>
      </c>
      <c r="C403" s="25"/>
      <c r="D403" s="92"/>
      <c r="E403" s="110"/>
      <c r="F403" s="93">
        <f>D403*E403</f>
        <v>0</v>
      </c>
      <c r="G403" s="74">
        <f t="shared" si="304"/>
        <v>0</v>
      </c>
      <c r="H403" s="95">
        <f t="shared" si="298"/>
        <v>0</v>
      </c>
      <c r="I403" s="112"/>
      <c r="J403" s="57"/>
      <c r="K403" s="57"/>
      <c r="L403" s="57"/>
      <c r="M403" s="57"/>
      <c r="N403" s="57"/>
      <c r="O403" s="57"/>
      <c r="P403" s="68"/>
      <c r="Q403" s="58"/>
      <c r="R403" s="93">
        <v>0</v>
      </c>
      <c r="S403" s="74">
        <f t="shared" si="346"/>
        <v>0</v>
      </c>
      <c r="T403" s="95">
        <f t="shared" si="338"/>
        <v>0</v>
      </c>
      <c r="U403" s="112"/>
      <c r="V403" s="57"/>
      <c r="W403" s="57"/>
      <c r="X403" s="57"/>
      <c r="Y403" s="57"/>
      <c r="Z403" s="57"/>
      <c r="AA403" s="57"/>
      <c r="AB403" s="68"/>
      <c r="AC403" s="58"/>
      <c r="AD403" s="170">
        <v>351.07</v>
      </c>
      <c r="AE403" s="89">
        <f t="shared" si="350"/>
        <v>-351.07</v>
      </c>
      <c r="AF403" s="216">
        <f t="shared" si="351"/>
        <v>0</v>
      </c>
      <c r="AG403" s="147"/>
      <c r="AH403" s="148"/>
      <c r="AI403" s="148"/>
      <c r="AJ403" s="148"/>
      <c r="AK403" s="148"/>
      <c r="AL403" s="148"/>
      <c r="AM403" s="148"/>
      <c r="AN403" s="149"/>
      <c r="AO403" s="150"/>
      <c r="AP403" s="76"/>
      <c r="AQ403" s="76"/>
      <c r="AR403" s="128"/>
      <c r="AS403" s="108"/>
      <c r="AT403" s="249"/>
      <c r="AU403" s="249"/>
      <c r="AV403" s="249"/>
    </row>
    <row r="404" spans="1:48" outlineLevel="1" x14ac:dyDescent="0.25">
      <c r="A404" s="4" t="s">
        <v>1118</v>
      </c>
      <c r="B404" s="75" t="s">
        <v>47</v>
      </c>
      <c r="C404" s="25"/>
      <c r="D404" s="92"/>
      <c r="E404" s="110"/>
      <c r="F404" s="93"/>
      <c r="G404" s="74"/>
      <c r="H404" s="95"/>
      <c r="I404" s="112"/>
      <c r="J404" s="57"/>
      <c r="K404" s="57"/>
      <c r="L404" s="57"/>
      <c r="M404" s="57"/>
      <c r="N404" s="57"/>
      <c r="O404" s="57"/>
      <c r="P404" s="68"/>
      <c r="Q404" s="58"/>
      <c r="R404" s="93"/>
      <c r="S404" s="74">
        <f t="shared" si="346"/>
        <v>0</v>
      </c>
      <c r="T404" s="95">
        <f t="shared" si="338"/>
        <v>0</v>
      </c>
      <c r="U404" s="112"/>
      <c r="V404" s="57"/>
      <c r="W404" s="57"/>
      <c r="X404" s="57"/>
      <c r="Y404" s="57"/>
      <c r="Z404" s="57"/>
      <c r="AA404" s="57"/>
      <c r="AB404" s="68"/>
      <c r="AC404" s="58"/>
      <c r="AD404" s="170"/>
      <c r="AE404" s="89">
        <f t="shared" si="350"/>
        <v>0</v>
      </c>
      <c r="AF404" s="216">
        <f t="shared" si="351"/>
        <v>0</v>
      </c>
      <c r="AG404" s="147"/>
      <c r="AH404" s="148"/>
      <c r="AI404" s="148"/>
      <c r="AJ404" s="148"/>
      <c r="AK404" s="148"/>
      <c r="AL404" s="148"/>
      <c r="AM404" s="148"/>
      <c r="AN404" s="149"/>
      <c r="AO404" s="150"/>
      <c r="AP404" s="176"/>
      <c r="AQ404" s="176"/>
      <c r="AR404" s="177"/>
      <c r="AS404" s="108"/>
      <c r="AT404" s="249"/>
      <c r="AU404" s="249"/>
      <c r="AV404" s="249"/>
    </row>
    <row r="405" spans="1:48" s="280" customFormat="1" ht="15.75" x14ac:dyDescent="0.25">
      <c r="A405" s="270" t="s">
        <v>379</v>
      </c>
      <c r="B405" s="271" t="s">
        <v>495</v>
      </c>
      <c r="C405" s="272"/>
      <c r="D405" s="273"/>
      <c r="E405" s="274"/>
      <c r="F405" s="264">
        <f>SUM(F406:F406)</f>
        <v>3000</v>
      </c>
      <c r="G405" s="265">
        <f t="shared" si="304"/>
        <v>0</v>
      </c>
      <c r="H405" s="275">
        <f t="shared" ref="H405:H474" si="355">SUM(I405:Q405)</f>
        <v>3000</v>
      </c>
      <c r="I405" s="267">
        <f>SUM(I406:I406)</f>
        <v>0</v>
      </c>
      <c r="J405" s="268">
        <f>SUM(J406:J406)</f>
        <v>0</v>
      </c>
      <c r="K405" s="268">
        <f>SUM(K406:K406)</f>
        <v>0</v>
      </c>
      <c r="L405" s="268">
        <f>SUM(L406:L406)</f>
        <v>0</v>
      </c>
      <c r="M405" s="268"/>
      <c r="N405" s="268">
        <f>SUM(N406:N406)</f>
        <v>0</v>
      </c>
      <c r="O405" s="268">
        <f>SUM(O406:O406)</f>
        <v>0</v>
      </c>
      <c r="P405" s="268">
        <f>SUM(P406:P406)</f>
        <v>0</v>
      </c>
      <c r="Q405" s="269">
        <f>SUM(Q406:Q406)</f>
        <v>3000</v>
      </c>
      <c r="R405" s="264">
        <f>SUM(R406:R406)</f>
        <v>3000</v>
      </c>
      <c r="S405" s="265">
        <f t="shared" si="346"/>
        <v>0</v>
      </c>
      <c r="T405" s="275">
        <f t="shared" si="338"/>
        <v>3000</v>
      </c>
      <c r="U405" s="267">
        <f>SUM(U406:U406)</f>
        <v>0</v>
      </c>
      <c r="V405" s="268">
        <f>SUM(V406:V406)</f>
        <v>0</v>
      </c>
      <c r="W405" s="268">
        <f>SUM(W406:W406)</f>
        <v>0</v>
      </c>
      <c r="X405" s="268">
        <f>SUM(X406:X406)</f>
        <v>0</v>
      </c>
      <c r="Y405" s="268"/>
      <c r="Z405" s="268">
        <f>SUM(Z406:Z406)</f>
        <v>0</v>
      </c>
      <c r="AA405" s="268">
        <f>SUM(AA406:AA406)</f>
        <v>0</v>
      </c>
      <c r="AB405" s="268">
        <f>SUM(AB406:AB406)</f>
        <v>0</v>
      </c>
      <c r="AC405" s="269">
        <f>SUM(AC406:AC406)</f>
        <v>3000</v>
      </c>
      <c r="AD405" s="264">
        <f>SUM(AD406:AD406)</f>
        <v>0</v>
      </c>
      <c r="AE405" s="265">
        <f t="shared" si="350"/>
        <v>0</v>
      </c>
      <c r="AF405" s="266">
        <f t="shared" si="351"/>
        <v>0</v>
      </c>
      <c r="AG405" s="267">
        <f>SUM(AG406:AG406)</f>
        <v>0</v>
      </c>
      <c r="AH405" s="268">
        <f>SUM(AH406:AH406)</f>
        <v>0</v>
      </c>
      <c r="AI405" s="268">
        <f>SUM(AI406:AI406)</f>
        <v>0</v>
      </c>
      <c r="AJ405" s="268">
        <f>SUM(AJ406:AJ406)</f>
        <v>0</v>
      </c>
      <c r="AK405" s="268"/>
      <c r="AL405" s="268">
        <f>SUM(AL406:AL406)</f>
        <v>0</v>
      </c>
      <c r="AM405" s="268">
        <f>SUM(AM406:AM406)</f>
        <v>0</v>
      </c>
      <c r="AN405" s="268">
        <f>SUM(AN406:AN406)</f>
        <v>0</v>
      </c>
      <c r="AO405" s="269">
        <f>SUM(AO406:AO406)</f>
        <v>0</v>
      </c>
      <c r="AP405" s="276">
        <v>0</v>
      </c>
      <c r="AQ405" s="276">
        <f>SUM(AQ406:AQ406)</f>
        <v>0</v>
      </c>
      <c r="AR405" s="277"/>
      <c r="AS405" s="278">
        <f t="shared" si="342"/>
        <v>1</v>
      </c>
      <c r="AT405" s="279">
        <f t="shared" si="343"/>
        <v>1</v>
      </c>
      <c r="AU405" s="279">
        <f t="shared" si="344"/>
        <v>0</v>
      </c>
      <c r="AV405" s="279">
        <f t="shared" si="345"/>
        <v>0</v>
      </c>
    </row>
    <row r="406" spans="1:48" outlineLevel="1" x14ac:dyDescent="0.25">
      <c r="A406" s="4" t="s">
        <v>380</v>
      </c>
      <c r="B406" s="75" t="s">
        <v>495</v>
      </c>
      <c r="C406" s="25"/>
      <c r="D406" s="92">
        <v>1</v>
      </c>
      <c r="E406" s="110">
        <v>3000</v>
      </c>
      <c r="F406" s="93">
        <f>D406*E406</f>
        <v>3000</v>
      </c>
      <c r="G406" s="74">
        <f t="shared" si="304"/>
        <v>0</v>
      </c>
      <c r="H406" s="95">
        <f t="shared" si="355"/>
        <v>3000</v>
      </c>
      <c r="I406" s="112"/>
      <c r="J406" s="57"/>
      <c r="K406" s="57"/>
      <c r="L406" s="57"/>
      <c r="M406" s="57"/>
      <c r="N406" s="57"/>
      <c r="O406" s="57"/>
      <c r="P406" s="68"/>
      <c r="Q406" s="58">
        <v>3000</v>
      </c>
      <c r="R406" s="93">
        <v>3000</v>
      </c>
      <c r="S406" s="74">
        <f t="shared" si="346"/>
        <v>0</v>
      </c>
      <c r="T406" s="95">
        <f t="shared" si="338"/>
        <v>3000</v>
      </c>
      <c r="U406" s="112"/>
      <c r="V406" s="57"/>
      <c r="W406" s="57"/>
      <c r="X406" s="57"/>
      <c r="Y406" s="57"/>
      <c r="Z406" s="57"/>
      <c r="AA406" s="57"/>
      <c r="AB406" s="68"/>
      <c r="AC406" s="58">
        <v>3000</v>
      </c>
      <c r="AD406" s="170">
        <f>P406*Q406</f>
        <v>0</v>
      </c>
      <c r="AE406" s="89">
        <f t="shared" si="350"/>
        <v>0</v>
      </c>
      <c r="AF406" s="216">
        <f t="shared" si="351"/>
        <v>0</v>
      </c>
      <c r="AG406" s="147"/>
      <c r="AH406" s="148"/>
      <c r="AI406" s="148"/>
      <c r="AJ406" s="148"/>
      <c r="AK406" s="148"/>
      <c r="AL406" s="148"/>
      <c r="AM406" s="148"/>
      <c r="AN406" s="149"/>
      <c r="AO406" s="150"/>
      <c r="AP406" s="76"/>
      <c r="AQ406" s="76"/>
      <c r="AR406" s="128"/>
      <c r="AS406" s="108">
        <f t="shared" si="342"/>
        <v>1</v>
      </c>
      <c r="AT406" s="249">
        <f t="shared" si="343"/>
        <v>1</v>
      </c>
      <c r="AU406" s="249">
        <f t="shared" si="344"/>
        <v>0</v>
      </c>
      <c r="AV406" s="249">
        <f t="shared" si="345"/>
        <v>0</v>
      </c>
    </row>
    <row r="407" spans="1:48" s="2" customFormat="1" ht="21" x14ac:dyDescent="0.35">
      <c r="A407" s="8" t="s">
        <v>393</v>
      </c>
      <c r="B407" s="12" t="s">
        <v>343</v>
      </c>
      <c r="C407" s="21"/>
      <c r="D407" s="22"/>
      <c r="E407" s="15"/>
      <c r="F407" s="84">
        <f>F408+F421+F413+F425+F433+F438</f>
        <v>62930</v>
      </c>
      <c r="G407" s="89">
        <f t="shared" si="304"/>
        <v>0</v>
      </c>
      <c r="H407" s="16">
        <f t="shared" si="355"/>
        <v>62930</v>
      </c>
      <c r="I407" s="51">
        <f t="shared" ref="I407:Q407" si="356">I408+I421+I413+I425+I433+I438</f>
        <v>3520</v>
      </c>
      <c r="J407" s="51">
        <f t="shared" si="356"/>
        <v>8950</v>
      </c>
      <c r="K407" s="51">
        <f t="shared" si="356"/>
        <v>20425</v>
      </c>
      <c r="L407" s="51">
        <f t="shared" si="356"/>
        <v>0</v>
      </c>
      <c r="M407" s="51">
        <f t="shared" si="356"/>
        <v>20075</v>
      </c>
      <c r="N407" s="51">
        <f t="shared" si="356"/>
        <v>0</v>
      </c>
      <c r="O407" s="51">
        <f t="shared" si="356"/>
        <v>0</v>
      </c>
      <c r="P407" s="51">
        <f t="shared" si="356"/>
        <v>0</v>
      </c>
      <c r="Q407" s="59">
        <f t="shared" si="356"/>
        <v>9960</v>
      </c>
      <c r="R407" s="84">
        <f>R408+R421+R413+R425+R433+R438</f>
        <v>62930</v>
      </c>
      <c r="S407" s="89">
        <f t="shared" si="346"/>
        <v>2534.0000000000146</v>
      </c>
      <c r="T407" s="16">
        <f t="shared" si="338"/>
        <v>65464.000000000015</v>
      </c>
      <c r="U407" s="51">
        <f t="shared" ref="U407:AC407" si="357">U408+U421+U413+U425+U433+U438</f>
        <v>3520</v>
      </c>
      <c r="V407" s="51">
        <f t="shared" si="357"/>
        <v>8950</v>
      </c>
      <c r="W407" s="218">
        <f t="shared" si="357"/>
        <v>19800</v>
      </c>
      <c r="X407" s="51">
        <f t="shared" si="357"/>
        <v>0</v>
      </c>
      <c r="Y407" s="218">
        <f t="shared" si="357"/>
        <v>23234.000000000015</v>
      </c>
      <c r="Z407" s="51">
        <f t="shared" si="357"/>
        <v>0</v>
      </c>
      <c r="AA407" s="51">
        <f t="shared" si="357"/>
        <v>0</v>
      </c>
      <c r="AB407" s="51">
        <f t="shared" si="357"/>
        <v>0</v>
      </c>
      <c r="AC407" s="59">
        <f t="shared" si="357"/>
        <v>9960</v>
      </c>
      <c r="AD407" s="255">
        <f>AD408+AD421+AD413+AD425+AD433+AD438</f>
        <v>2626.9</v>
      </c>
      <c r="AE407" s="256">
        <f t="shared" si="350"/>
        <v>4001.1</v>
      </c>
      <c r="AF407" s="257">
        <f t="shared" si="351"/>
        <v>6628</v>
      </c>
      <c r="AG407" s="260">
        <f>AG408+AG421+AG413+AG425+AG433+AG438</f>
        <v>0</v>
      </c>
      <c r="AH407" s="262">
        <v>628</v>
      </c>
      <c r="AI407" s="262">
        <v>6000</v>
      </c>
      <c r="AJ407" s="260">
        <f t="shared" ref="AJ407:AO407" si="358">AJ408+AJ421+AJ413+AJ425+AJ433+AJ438</f>
        <v>0</v>
      </c>
      <c r="AK407" s="260">
        <f t="shared" si="358"/>
        <v>0</v>
      </c>
      <c r="AL407" s="260">
        <f t="shared" si="358"/>
        <v>0</v>
      </c>
      <c r="AM407" s="260">
        <f t="shared" si="358"/>
        <v>0</v>
      </c>
      <c r="AN407" s="260">
        <f t="shared" si="358"/>
        <v>0</v>
      </c>
      <c r="AO407" s="261">
        <f t="shared" si="358"/>
        <v>0</v>
      </c>
      <c r="AP407" s="32">
        <f>+AP408+AP413+AP421+AP425+AP433+AP438</f>
        <v>89125</v>
      </c>
      <c r="AQ407" s="122">
        <f>AQ408+AQ421+AQ413+AQ425+AQ433+AQ438</f>
        <v>60125.89</v>
      </c>
      <c r="AR407" s="126">
        <f>AQ407*100/AP407</f>
        <v>67.462429172510525</v>
      </c>
      <c r="AS407" s="108">
        <f t="shared" si="342"/>
        <v>1</v>
      </c>
      <c r="AT407" s="249">
        <f t="shared" si="343"/>
        <v>1.0402669632925474</v>
      </c>
      <c r="AU407" s="249">
        <f t="shared" si="344"/>
        <v>4.1743206737645006E-2</v>
      </c>
      <c r="AV407" s="249">
        <f t="shared" si="345"/>
        <v>0.10532337517877007</v>
      </c>
    </row>
    <row r="408" spans="1:48" s="280" customFormat="1" ht="15.75" x14ac:dyDescent="0.25">
      <c r="A408" s="270" t="s">
        <v>394</v>
      </c>
      <c r="B408" s="271" t="s">
        <v>265</v>
      </c>
      <c r="C408" s="272"/>
      <c r="D408" s="273"/>
      <c r="E408" s="274"/>
      <c r="F408" s="264">
        <f>SUM(F409:F412)</f>
        <v>1500</v>
      </c>
      <c r="G408" s="265">
        <f t="shared" si="304"/>
        <v>0</v>
      </c>
      <c r="H408" s="275">
        <f t="shared" si="355"/>
        <v>1500</v>
      </c>
      <c r="I408" s="267">
        <f t="shared" ref="I408:Q408" si="359">SUM(I409:I412)</f>
        <v>1000</v>
      </c>
      <c r="J408" s="268">
        <f t="shared" si="359"/>
        <v>0</v>
      </c>
      <c r="K408" s="268">
        <f t="shared" si="359"/>
        <v>0</v>
      </c>
      <c r="L408" s="268">
        <f t="shared" si="359"/>
        <v>0</v>
      </c>
      <c r="M408" s="268">
        <f>SUM(M409:M412)</f>
        <v>500</v>
      </c>
      <c r="N408" s="268">
        <f t="shared" si="359"/>
        <v>0</v>
      </c>
      <c r="O408" s="268">
        <f t="shared" si="359"/>
        <v>0</v>
      </c>
      <c r="P408" s="268">
        <f t="shared" si="359"/>
        <v>0</v>
      </c>
      <c r="Q408" s="269">
        <f t="shared" si="359"/>
        <v>0</v>
      </c>
      <c r="R408" s="264">
        <f>SUM(R409:R412)</f>
        <v>1500</v>
      </c>
      <c r="S408" s="265">
        <f t="shared" si="346"/>
        <v>78.679950186799942</v>
      </c>
      <c r="T408" s="275">
        <f t="shared" si="338"/>
        <v>1578.6799501867999</v>
      </c>
      <c r="U408" s="267">
        <f t="shared" ref="U408:AD408" si="360">SUM(U409:U412)</f>
        <v>1000</v>
      </c>
      <c r="V408" s="268">
        <f t="shared" si="360"/>
        <v>0</v>
      </c>
      <c r="W408" s="268">
        <f t="shared" si="360"/>
        <v>0</v>
      </c>
      <c r="X408" s="268">
        <f t="shared" si="360"/>
        <v>0</v>
      </c>
      <c r="Y408" s="268">
        <f t="shared" si="360"/>
        <v>578.67995018679994</v>
      </c>
      <c r="Z408" s="268">
        <f t="shared" si="360"/>
        <v>0</v>
      </c>
      <c r="AA408" s="268">
        <f t="shared" si="360"/>
        <v>0</v>
      </c>
      <c r="AB408" s="268">
        <f t="shared" si="360"/>
        <v>0</v>
      </c>
      <c r="AC408" s="269">
        <f t="shared" si="360"/>
        <v>0</v>
      </c>
      <c r="AD408" s="264">
        <f t="shared" si="360"/>
        <v>88.38</v>
      </c>
      <c r="AE408" s="265">
        <f t="shared" si="350"/>
        <v>-88.38</v>
      </c>
      <c r="AF408" s="266">
        <f t="shared" si="351"/>
        <v>0</v>
      </c>
      <c r="AG408" s="267">
        <f t="shared" ref="AG408:AO408" si="361">SUM(AG409:AG412)</f>
        <v>0</v>
      </c>
      <c r="AH408" s="268">
        <f t="shared" si="361"/>
        <v>0</v>
      </c>
      <c r="AI408" s="268">
        <f t="shared" si="361"/>
        <v>0</v>
      </c>
      <c r="AJ408" s="268">
        <f t="shared" si="361"/>
        <v>0</v>
      </c>
      <c r="AK408" s="268">
        <f t="shared" si="361"/>
        <v>0</v>
      </c>
      <c r="AL408" s="268">
        <f t="shared" si="361"/>
        <v>0</v>
      </c>
      <c r="AM408" s="268">
        <f t="shared" si="361"/>
        <v>0</v>
      </c>
      <c r="AN408" s="268">
        <f t="shared" si="361"/>
        <v>0</v>
      </c>
      <c r="AO408" s="269">
        <f t="shared" si="361"/>
        <v>0</v>
      </c>
      <c r="AP408" s="276">
        <v>3000</v>
      </c>
      <c r="AQ408" s="276">
        <v>2050.5100000000002</v>
      </c>
      <c r="AR408" s="277">
        <f>AQ408*100/AP408</f>
        <v>68.350333333333339</v>
      </c>
      <c r="AS408" s="278">
        <f t="shared" si="342"/>
        <v>1</v>
      </c>
      <c r="AT408" s="279">
        <f t="shared" si="343"/>
        <v>1.0524533001245333</v>
      </c>
      <c r="AU408" s="279">
        <f t="shared" si="344"/>
        <v>5.892E-2</v>
      </c>
      <c r="AV408" s="279">
        <f t="shared" si="345"/>
        <v>0</v>
      </c>
    </row>
    <row r="409" spans="1:48" outlineLevel="1" x14ac:dyDescent="0.25">
      <c r="A409" s="5" t="s">
        <v>395</v>
      </c>
      <c r="B409" s="75" t="s">
        <v>281</v>
      </c>
      <c r="C409" s="25"/>
      <c r="D409" s="92">
        <v>1</v>
      </c>
      <c r="E409" s="110">
        <v>200</v>
      </c>
      <c r="F409" s="93">
        <f>D409*E409</f>
        <v>200</v>
      </c>
      <c r="G409" s="74">
        <f t="shared" si="304"/>
        <v>0</v>
      </c>
      <c r="H409" s="95">
        <f t="shared" si="355"/>
        <v>200</v>
      </c>
      <c r="I409" s="112">
        <v>200</v>
      </c>
      <c r="J409" s="57"/>
      <c r="K409" s="57"/>
      <c r="L409" s="57"/>
      <c r="M409" s="57"/>
      <c r="N409" s="57"/>
      <c r="O409" s="57"/>
      <c r="P409" s="68"/>
      <c r="Q409" s="58"/>
      <c r="R409" s="93">
        <v>200</v>
      </c>
      <c r="S409" s="74">
        <f t="shared" si="346"/>
        <v>0</v>
      </c>
      <c r="T409" s="95">
        <f t="shared" si="338"/>
        <v>200</v>
      </c>
      <c r="U409" s="112">
        <v>200</v>
      </c>
      <c r="V409" s="57"/>
      <c r="W409" s="57"/>
      <c r="X409" s="57"/>
      <c r="Y409" s="57"/>
      <c r="Z409" s="57"/>
      <c r="AA409" s="57"/>
      <c r="AB409" s="68"/>
      <c r="AC409" s="58"/>
      <c r="AD409" s="170">
        <f>P409*Q409</f>
        <v>0</v>
      </c>
      <c r="AE409" s="89">
        <f t="shared" si="350"/>
        <v>0</v>
      </c>
      <c r="AF409" s="216">
        <f t="shared" si="351"/>
        <v>0</v>
      </c>
      <c r="AG409" s="147"/>
      <c r="AH409" s="148"/>
      <c r="AI409" s="148"/>
      <c r="AJ409" s="148"/>
      <c r="AK409" s="148"/>
      <c r="AL409" s="148"/>
      <c r="AM409" s="148"/>
      <c r="AN409" s="149"/>
      <c r="AO409" s="150"/>
      <c r="AP409" s="76"/>
      <c r="AQ409" s="76"/>
      <c r="AR409" s="128"/>
      <c r="AS409" s="108">
        <f t="shared" si="342"/>
        <v>1</v>
      </c>
      <c r="AT409" s="249">
        <f t="shared" si="343"/>
        <v>1</v>
      </c>
      <c r="AU409" s="249">
        <f t="shared" si="344"/>
        <v>0</v>
      </c>
      <c r="AV409" s="249">
        <f t="shared" si="345"/>
        <v>0</v>
      </c>
    </row>
    <row r="410" spans="1:48" outlineLevel="1" x14ac:dyDescent="0.25">
      <c r="A410" s="4" t="s">
        <v>396</v>
      </c>
      <c r="B410" s="75" t="s">
        <v>309</v>
      </c>
      <c r="C410" s="25"/>
      <c r="D410" s="92">
        <v>4</v>
      </c>
      <c r="E410" s="110">
        <v>100</v>
      </c>
      <c r="F410" s="93">
        <f>D410*E410</f>
        <v>400</v>
      </c>
      <c r="G410" s="74">
        <f t="shared" si="304"/>
        <v>0</v>
      </c>
      <c r="H410" s="95">
        <f t="shared" si="355"/>
        <v>400</v>
      </c>
      <c r="I410" s="112">
        <v>400</v>
      </c>
      <c r="J410" s="57"/>
      <c r="K410" s="57"/>
      <c r="L410" s="57"/>
      <c r="M410" s="57"/>
      <c r="N410" s="57"/>
      <c r="O410" s="57"/>
      <c r="P410" s="68"/>
      <c r="Q410" s="58"/>
      <c r="R410" s="93">
        <v>400</v>
      </c>
      <c r="S410" s="74">
        <f t="shared" si="346"/>
        <v>0</v>
      </c>
      <c r="T410" s="95">
        <f t="shared" si="338"/>
        <v>400</v>
      </c>
      <c r="U410" s="112">
        <v>400</v>
      </c>
      <c r="V410" s="57"/>
      <c r="W410" s="57"/>
      <c r="X410" s="57"/>
      <c r="Y410" s="57"/>
      <c r="Z410" s="57"/>
      <c r="AA410" s="57"/>
      <c r="AB410" s="68"/>
      <c r="AC410" s="58"/>
      <c r="AD410" s="170">
        <f>P410*Q410</f>
        <v>0</v>
      </c>
      <c r="AE410" s="89">
        <f t="shared" si="350"/>
        <v>0</v>
      </c>
      <c r="AF410" s="216">
        <f t="shared" si="351"/>
        <v>0</v>
      </c>
      <c r="AG410" s="147"/>
      <c r="AH410" s="148"/>
      <c r="AI410" s="148"/>
      <c r="AJ410" s="148"/>
      <c r="AK410" s="148"/>
      <c r="AL410" s="148"/>
      <c r="AM410" s="148"/>
      <c r="AN410" s="149"/>
      <c r="AO410" s="150"/>
      <c r="AP410" s="76"/>
      <c r="AQ410" s="76"/>
      <c r="AR410" s="128"/>
      <c r="AS410" s="108">
        <f t="shared" si="342"/>
        <v>1</v>
      </c>
      <c r="AT410" s="249">
        <f t="shared" si="343"/>
        <v>1</v>
      </c>
      <c r="AU410" s="249">
        <f t="shared" si="344"/>
        <v>0</v>
      </c>
      <c r="AV410" s="249">
        <f t="shared" si="345"/>
        <v>0</v>
      </c>
    </row>
    <row r="411" spans="1:48" outlineLevel="1" x14ac:dyDescent="0.25">
      <c r="A411" s="4" t="s">
        <v>397</v>
      </c>
      <c r="B411" s="75" t="s">
        <v>285</v>
      </c>
      <c r="C411" s="25"/>
      <c r="D411" s="92">
        <v>4</v>
      </c>
      <c r="E411" s="110">
        <v>100</v>
      </c>
      <c r="F411" s="93">
        <f>D411*E411</f>
        <v>400</v>
      </c>
      <c r="G411" s="74">
        <f t="shared" ref="G411:G480" si="362">H411-F411</f>
        <v>0</v>
      </c>
      <c r="H411" s="95">
        <f t="shared" si="355"/>
        <v>400</v>
      </c>
      <c r="I411" s="112">
        <v>400</v>
      </c>
      <c r="J411" s="57"/>
      <c r="K411" s="57"/>
      <c r="L411" s="57"/>
      <c r="M411" s="57"/>
      <c r="N411" s="57"/>
      <c r="O411" s="57"/>
      <c r="P411" s="68"/>
      <c r="Q411" s="58"/>
      <c r="R411" s="93">
        <v>400</v>
      </c>
      <c r="S411" s="74">
        <f t="shared" si="346"/>
        <v>0</v>
      </c>
      <c r="T411" s="95">
        <f t="shared" si="338"/>
        <v>400</v>
      </c>
      <c r="U411" s="112">
        <v>400</v>
      </c>
      <c r="V411" s="57"/>
      <c r="W411" s="57"/>
      <c r="X411" s="57"/>
      <c r="Y411" s="57"/>
      <c r="Z411" s="57"/>
      <c r="AA411" s="57"/>
      <c r="AB411" s="68"/>
      <c r="AC411" s="58"/>
      <c r="AD411" s="170">
        <v>81.72</v>
      </c>
      <c r="AE411" s="89">
        <f t="shared" si="350"/>
        <v>-81.72</v>
      </c>
      <c r="AF411" s="216">
        <f t="shared" si="351"/>
        <v>0</v>
      </c>
      <c r="AG411" s="147"/>
      <c r="AH411" s="148"/>
      <c r="AI411" s="148"/>
      <c r="AJ411" s="148"/>
      <c r="AK411" s="148"/>
      <c r="AL411" s="148"/>
      <c r="AM411" s="148"/>
      <c r="AN411" s="149"/>
      <c r="AO411" s="150"/>
      <c r="AP411" s="76"/>
      <c r="AQ411" s="76"/>
      <c r="AR411" s="128"/>
      <c r="AS411" s="108">
        <f t="shared" si="342"/>
        <v>1</v>
      </c>
      <c r="AT411" s="249">
        <f t="shared" si="343"/>
        <v>1</v>
      </c>
      <c r="AU411" s="249">
        <f t="shared" si="344"/>
        <v>0.20430000000000001</v>
      </c>
      <c r="AV411" s="249">
        <f t="shared" si="345"/>
        <v>0</v>
      </c>
    </row>
    <row r="412" spans="1:48" outlineLevel="1" x14ac:dyDescent="0.25">
      <c r="A412" s="4" t="s">
        <v>1120</v>
      </c>
      <c r="B412" s="75" t="s">
        <v>47</v>
      </c>
      <c r="C412" s="25"/>
      <c r="D412" s="92">
        <v>1</v>
      </c>
      <c r="E412" s="110">
        <v>500</v>
      </c>
      <c r="F412" s="93">
        <f>D412*E412</f>
        <v>500</v>
      </c>
      <c r="G412" s="74">
        <f t="shared" si="362"/>
        <v>0</v>
      </c>
      <c r="H412" s="95">
        <f t="shared" si="355"/>
        <v>500</v>
      </c>
      <c r="I412" s="112"/>
      <c r="J412" s="57"/>
      <c r="K412" s="57"/>
      <c r="L412" s="57"/>
      <c r="M412" s="57">
        <v>500</v>
      </c>
      <c r="N412" s="57"/>
      <c r="O412" s="57"/>
      <c r="P412" s="68"/>
      <c r="Q412" s="58"/>
      <c r="R412" s="93">
        <v>500</v>
      </c>
      <c r="S412" s="74">
        <f t="shared" si="346"/>
        <v>78.679950186799942</v>
      </c>
      <c r="T412" s="95">
        <f t="shared" si="338"/>
        <v>578.67995018679994</v>
      </c>
      <c r="U412" s="112"/>
      <c r="V412" s="57"/>
      <c r="W412" s="57"/>
      <c r="X412" s="57"/>
      <c r="Y412" s="57">
        <f>500*1.1573599003736</f>
        <v>578.67995018679994</v>
      </c>
      <c r="Z412" s="57"/>
      <c r="AA412" s="57"/>
      <c r="AB412" s="68"/>
      <c r="AC412" s="58"/>
      <c r="AD412" s="170">
        <v>6.66</v>
      </c>
      <c r="AE412" s="89">
        <f t="shared" si="350"/>
        <v>-6.66</v>
      </c>
      <c r="AF412" s="216">
        <f t="shared" si="351"/>
        <v>0</v>
      </c>
      <c r="AG412" s="147"/>
      <c r="AH412" s="148"/>
      <c r="AI412" s="148"/>
      <c r="AJ412" s="148"/>
      <c r="AK412" s="148"/>
      <c r="AL412" s="148"/>
      <c r="AM412" s="148"/>
      <c r="AN412" s="149"/>
      <c r="AO412" s="150"/>
      <c r="AP412" s="76"/>
      <c r="AQ412" s="76"/>
      <c r="AR412" s="128"/>
      <c r="AS412" s="108">
        <f t="shared" si="342"/>
        <v>1</v>
      </c>
      <c r="AT412" s="249">
        <f t="shared" si="343"/>
        <v>1.1573599003735999</v>
      </c>
      <c r="AU412" s="249">
        <f t="shared" si="344"/>
        <v>1.332E-2</v>
      </c>
      <c r="AV412" s="249">
        <f t="shared" si="345"/>
        <v>0</v>
      </c>
    </row>
    <row r="413" spans="1:48" s="280" customFormat="1" ht="15.75" x14ac:dyDescent="0.25">
      <c r="A413" s="270" t="s">
        <v>399</v>
      </c>
      <c r="B413" s="271" t="s">
        <v>248</v>
      </c>
      <c r="C413" s="272"/>
      <c r="D413" s="273"/>
      <c r="E413" s="274"/>
      <c r="F413" s="264">
        <f>SUM(F414:F420)</f>
        <v>9950</v>
      </c>
      <c r="G413" s="265">
        <f t="shared" si="362"/>
        <v>0</v>
      </c>
      <c r="H413" s="275">
        <f t="shared" si="355"/>
        <v>9950</v>
      </c>
      <c r="I413" s="267">
        <f t="shared" ref="I413:Q413" si="363">SUM(I414:I420)</f>
        <v>0</v>
      </c>
      <c r="J413" s="268">
        <f t="shared" si="363"/>
        <v>8950</v>
      </c>
      <c r="K413" s="268">
        <f t="shared" si="363"/>
        <v>0</v>
      </c>
      <c r="L413" s="268">
        <f t="shared" si="363"/>
        <v>0</v>
      </c>
      <c r="M413" s="268">
        <f t="shared" si="363"/>
        <v>1000</v>
      </c>
      <c r="N413" s="268">
        <f t="shared" si="363"/>
        <v>0</v>
      </c>
      <c r="O413" s="268">
        <f t="shared" si="363"/>
        <v>0</v>
      </c>
      <c r="P413" s="268">
        <f t="shared" si="363"/>
        <v>0</v>
      </c>
      <c r="Q413" s="269">
        <f t="shared" si="363"/>
        <v>0</v>
      </c>
      <c r="R413" s="264">
        <f>SUM(R414:R420)</f>
        <v>9950</v>
      </c>
      <c r="S413" s="265">
        <f t="shared" si="346"/>
        <v>157.35990037359988</v>
      </c>
      <c r="T413" s="275">
        <f t="shared" si="338"/>
        <v>10107.3599003736</v>
      </c>
      <c r="U413" s="267">
        <f t="shared" ref="U413:AC413" si="364">SUM(U414:U420)</f>
        <v>0</v>
      </c>
      <c r="V413" s="268">
        <f t="shared" si="364"/>
        <v>8950</v>
      </c>
      <c r="W413" s="268">
        <f t="shared" si="364"/>
        <v>0</v>
      </c>
      <c r="X413" s="268">
        <f t="shared" si="364"/>
        <v>0</v>
      </c>
      <c r="Y413" s="268">
        <f t="shared" si="364"/>
        <v>1157.3599003735999</v>
      </c>
      <c r="Z413" s="268">
        <f t="shared" si="364"/>
        <v>0</v>
      </c>
      <c r="AA413" s="268">
        <f t="shared" si="364"/>
        <v>0</v>
      </c>
      <c r="AB413" s="268">
        <f t="shared" si="364"/>
        <v>0</v>
      </c>
      <c r="AC413" s="269">
        <f t="shared" si="364"/>
        <v>0</v>
      </c>
      <c r="AD413" s="264">
        <f>SUM(AD414:AD420)</f>
        <v>436.98</v>
      </c>
      <c r="AE413" s="265">
        <f t="shared" si="350"/>
        <v>-436.98</v>
      </c>
      <c r="AF413" s="266">
        <f t="shared" si="351"/>
        <v>0</v>
      </c>
      <c r="AG413" s="267">
        <f t="shared" ref="AG413:AO413" si="365">SUM(AG414:AG420)</f>
        <v>0</v>
      </c>
      <c r="AH413" s="268">
        <f t="shared" si="365"/>
        <v>0</v>
      </c>
      <c r="AI413" s="268">
        <f t="shared" si="365"/>
        <v>0</v>
      </c>
      <c r="AJ413" s="268">
        <f t="shared" si="365"/>
        <v>0</v>
      </c>
      <c r="AK413" s="268">
        <f t="shared" si="365"/>
        <v>0</v>
      </c>
      <c r="AL413" s="268">
        <f t="shared" si="365"/>
        <v>0</v>
      </c>
      <c r="AM413" s="268">
        <f t="shared" si="365"/>
        <v>0</v>
      </c>
      <c r="AN413" s="268">
        <f t="shared" si="365"/>
        <v>0</v>
      </c>
      <c r="AO413" s="269">
        <f t="shared" si="365"/>
        <v>0</v>
      </c>
      <c r="AP413" s="276">
        <v>8500</v>
      </c>
      <c r="AQ413" s="276">
        <f>33.63+1013.05+946.28+522.6+3320.82</f>
        <v>5836.38</v>
      </c>
      <c r="AR413" s="277">
        <f>AQ413*100/AP413</f>
        <v>68.663294117647055</v>
      </c>
      <c r="AS413" s="278">
        <f t="shared" si="342"/>
        <v>1</v>
      </c>
      <c r="AT413" s="279">
        <f t="shared" si="343"/>
        <v>1.0158150653641809</v>
      </c>
      <c r="AU413" s="279">
        <f t="shared" si="344"/>
        <v>4.3917587939698494E-2</v>
      </c>
      <c r="AV413" s="279">
        <f t="shared" si="345"/>
        <v>0</v>
      </c>
    </row>
    <row r="414" spans="1:48" outlineLevel="1" x14ac:dyDescent="0.25">
      <c r="A414" s="4" t="s">
        <v>400</v>
      </c>
      <c r="B414" s="75" t="s">
        <v>382</v>
      </c>
      <c r="C414" s="25"/>
      <c r="D414" s="92">
        <v>1</v>
      </c>
      <c r="E414" s="110">
        <v>5000</v>
      </c>
      <c r="F414" s="93">
        <f t="shared" ref="F414:F420" si="366">D414*E414</f>
        <v>5000</v>
      </c>
      <c r="G414" s="74">
        <f t="shared" si="362"/>
        <v>0</v>
      </c>
      <c r="H414" s="95">
        <f t="shared" si="355"/>
        <v>5000</v>
      </c>
      <c r="I414" s="112"/>
      <c r="J414" s="57">
        <v>5000</v>
      </c>
      <c r="K414" s="57"/>
      <c r="L414" s="57"/>
      <c r="M414" s="57"/>
      <c r="N414" s="57"/>
      <c r="O414" s="57"/>
      <c r="P414" s="68"/>
      <c r="Q414" s="58"/>
      <c r="R414" s="93">
        <v>5000</v>
      </c>
      <c r="S414" s="74">
        <f t="shared" si="346"/>
        <v>0</v>
      </c>
      <c r="T414" s="95">
        <f t="shared" si="338"/>
        <v>5000</v>
      </c>
      <c r="U414" s="112"/>
      <c r="V414" s="57">
        <v>5000</v>
      </c>
      <c r="W414" s="57"/>
      <c r="X414" s="57"/>
      <c r="Y414" s="57"/>
      <c r="Z414" s="57"/>
      <c r="AA414" s="57"/>
      <c r="AB414" s="68"/>
      <c r="AC414" s="58"/>
      <c r="AD414" s="170">
        <f t="shared" ref="AD414:AD419" si="367">P414*Q414</f>
        <v>0</v>
      </c>
      <c r="AE414" s="89">
        <f t="shared" si="350"/>
        <v>0</v>
      </c>
      <c r="AF414" s="216">
        <f t="shared" si="351"/>
        <v>0</v>
      </c>
      <c r="AG414" s="147"/>
      <c r="AH414" s="148"/>
      <c r="AI414" s="148"/>
      <c r="AJ414" s="148"/>
      <c r="AK414" s="148"/>
      <c r="AL414" s="148"/>
      <c r="AM414" s="148"/>
      <c r="AN414" s="149"/>
      <c r="AO414" s="150"/>
      <c r="AP414" s="76"/>
      <c r="AQ414" s="76"/>
      <c r="AR414" s="128"/>
      <c r="AS414" s="108">
        <f t="shared" si="342"/>
        <v>1</v>
      </c>
      <c r="AT414" s="249">
        <f t="shared" si="343"/>
        <v>1</v>
      </c>
      <c r="AU414" s="249">
        <f t="shared" si="344"/>
        <v>0</v>
      </c>
      <c r="AV414" s="249">
        <f t="shared" si="345"/>
        <v>0</v>
      </c>
    </row>
    <row r="415" spans="1:48" outlineLevel="1" x14ac:dyDescent="0.25">
      <c r="A415" s="6" t="s">
        <v>401</v>
      </c>
      <c r="B415" s="75" t="s">
        <v>383</v>
      </c>
      <c r="C415" s="25"/>
      <c r="D415" s="92">
        <v>1</v>
      </c>
      <c r="E415" s="110">
        <v>750</v>
      </c>
      <c r="F415" s="93">
        <f t="shared" si="366"/>
        <v>750</v>
      </c>
      <c r="G415" s="74">
        <f t="shared" si="362"/>
        <v>0</v>
      </c>
      <c r="H415" s="95">
        <f t="shared" si="355"/>
        <v>750</v>
      </c>
      <c r="I415" s="112"/>
      <c r="J415" s="57">
        <v>750</v>
      </c>
      <c r="K415" s="57"/>
      <c r="L415" s="57"/>
      <c r="M415" s="57"/>
      <c r="N415" s="57"/>
      <c r="O415" s="57"/>
      <c r="P415" s="68"/>
      <c r="Q415" s="58"/>
      <c r="R415" s="93">
        <v>750</v>
      </c>
      <c r="S415" s="74">
        <f t="shared" si="346"/>
        <v>0</v>
      </c>
      <c r="T415" s="95">
        <f t="shared" si="338"/>
        <v>750</v>
      </c>
      <c r="U415" s="112"/>
      <c r="V415" s="57">
        <v>750</v>
      </c>
      <c r="W415" s="57"/>
      <c r="X415" s="57"/>
      <c r="Y415" s="57"/>
      <c r="Z415" s="57"/>
      <c r="AA415" s="57"/>
      <c r="AB415" s="68"/>
      <c r="AC415" s="58"/>
      <c r="AD415" s="170">
        <f t="shared" si="367"/>
        <v>0</v>
      </c>
      <c r="AE415" s="89">
        <f t="shared" si="350"/>
        <v>0</v>
      </c>
      <c r="AF415" s="216">
        <f t="shared" si="351"/>
        <v>0</v>
      </c>
      <c r="AG415" s="147"/>
      <c r="AH415" s="148"/>
      <c r="AI415" s="148"/>
      <c r="AJ415" s="148"/>
      <c r="AK415" s="148"/>
      <c r="AL415" s="148"/>
      <c r="AM415" s="148"/>
      <c r="AN415" s="149"/>
      <c r="AO415" s="150"/>
      <c r="AP415" s="76"/>
      <c r="AQ415" s="76"/>
      <c r="AR415" s="128"/>
      <c r="AS415" s="108">
        <f t="shared" si="342"/>
        <v>1</v>
      </c>
      <c r="AT415" s="249">
        <f t="shared" si="343"/>
        <v>1</v>
      </c>
      <c r="AU415" s="249">
        <f t="shared" si="344"/>
        <v>0</v>
      </c>
      <c r="AV415" s="249">
        <f t="shared" si="345"/>
        <v>0</v>
      </c>
    </row>
    <row r="416" spans="1:48" outlineLevel="1" x14ac:dyDescent="0.25">
      <c r="A416" s="6" t="s">
        <v>402</v>
      </c>
      <c r="B416" s="75" t="s">
        <v>384</v>
      </c>
      <c r="C416" s="25"/>
      <c r="D416" s="92">
        <v>1</v>
      </c>
      <c r="E416" s="110">
        <v>400</v>
      </c>
      <c r="F416" s="93">
        <f t="shared" si="366"/>
        <v>400</v>
      </c>
      <c r="G416" s="74">
        <f t="shared" si="362"/>
        <v>0</v>
      </c>
      <c r="H416" s="95">
        <f t="shared" si="355"/>
        <v>400</v>
      </c>
      <c r="I416" s="112"/>
      <c r="J416" s="57">
        <v>400</v>
      </c>
      <c r="K416" s="57"/>
      <c r="L416" s="57"/>
      <c r="M416" s="57"/>
      <c r="N416" s="57"/>
      <c r="O416" s="57"/>
      <c r="P416" s="68"/>
      <c r="Q416" s="58"/>
      <c r="R416" s="93">
        <v>400</v>
      </c>
      <c r="S416" s="74">
        <f t="shared" si="346"/>
        <v>0</v>
      </c>
      <c r="T416" s="95">
        <f t="shared" si="338"/>
        <v>400</v>
      </c>
      <c r="U416" s="112"/>
      <c r="V416" s="57">
        <v>400</v>
      </c>
      <c r="W416" s="57"/>
      <c r="X416" s="57"/>
      <c r="Y416" s="57"/>
      <c r="Z416" s="57"/>
      <c r="AA416" s="57"/>
      <c r="AB416" s="68"/>
      <c r="AC416" s="58"/>
      <c r="AD416" s="170">
        <f t="shared" si="367"/>
        <v>0</v>
      </c>
      <c r="AE416" s="89">
        <f t="shared" si="350"/>
        <v>0</v>
      </c>
      <c r="AF416" s="216">
        <f t="shared" si="351"/>
        <v>0</v>
      </c>
      <c r="AG416" s="147"/>
      <c r="AH416" s="148"/>
      <c r="AI416" s="148"/>
      <c r="AJ416" s="148"/>
      <c r="AK416" s="148"/>
      <c r="AL416" s="148"/>
      <c r="AM416" s="148"/>
      <c r="AN416" s="149"/>
      <c r="AO416" s="150"/>
      <c r="AP416" s="76"/>
      <c r="AQ416" s="76"/>
      <c r="AR416" s="128"/>
      <c r="AS416" s="108">
        <f t="shared" si="342"/>
        <v>1</v>
      </c>
      <c r="AT416" s="249">
        <f t="shared" si="343"/>
        <v>1</v>
      </c>
      <c r="AU416" s="249">
        <f t="shared" si="344"/>
        <v>0</v>
      </c>
      <c r="AV416" s="249">
        <f t="shared" si="345"/>
        <v>0</v>
      </c>
    </row>
    <row r="417" spans="1:48" outlineLevel="1" x14ac:dyDescent="0.25">
      <c r="A417" s="6" t="s">
        <v>815</v>
      </c>
      <c r="B417" s="75" t="s">
        <v>385</v>
      </c>
      <c r="C417" s="25"/>
      <c r="D417" s="92">
        <v>1</v>
      </c>
      <c r="E417" s="110">
        <v>1000</v>
      </c>
      <c r="F417" s="93">
        <f>D417*E417</f>
        <v>1000</v>
      </c>
      <c r="G417" s="74">
        <f t="shared" si="362"/>
        <v>0</v>
      </c>
      <c r="H417" s="95">
        <f t="shared" si="355"/>
        <v>1000</v>
      </c>
      <c r="I417" s="112"/>
      <c r="J417" s="57">
        <v>1000</v>
      </c>
      <c r="K417" s="57"/>
      <c r="L417" s="57"/>
      <c r="M417" s="57"/>
      <c r="N417" s="57"/>
      <c r="O417" s="57"/>
      <c r="P417" s="68"/>
      <c r="Q417" s="58"/>
      <c r="R417" s="93">
        <v>1000</v>
      </c>
      <c r="S417" s="74">
        <f t="shared" si="346"/>
        <v>0</v>
      </c>
      <c r="T417" s="95">
        <f t="shared" si="338"/>
        <v>1000</v>
      </c>
      <c r="U417" s="112"/>
      <c r="V417" s="57">
        <v>1000</v>
      </c>
      <c r="W417" s="57"/>
      <c r="X417" s="57"/>
      <c r="Y417" s="57"/>
      <c r="Z417" s="57"/>
      <c r="AA417" s="57"/>
      <c r="AB417" s="68"/>
      <c r="AC417" s="58"/>
      <c r="AD417" s="170">
        <f t="shared" si="367"/>
        <v>0</v>
      </c>
      <c r="AE417" s="89">
        <f t="shared" si="350"/>
        <v>0</v>
      </c>
      <c r="AF417" s="216">
        <f t="shared" si="351"/>
        <v>0</v>
      </c>
      <c r="AG417" s="147"/>
      <c r="AH417" s="148"/>
      <c r="AI417" s="148"/>
      <c r="AJ417" s="148"/>
      <c r="AK417" s="148"/>
      <c r="AL417" s="148"/>
      <c r="AM417" s="148"/>
      <c r="AN417" s="149"/>
      <c r="AO417" s="150"/>
      <c r="AP417" s="76"/>
      <c r="AQ417" s="76"/>
      <c r="AR417" s="128"/>
      <c r="AS417" s="108">
        <f t="shared" si="342"/>
        <v>1</v>
      </c>
      <c r="AT417" s="249">
        <f t="shared" si="343"/>
        <v>1</v>
      </c>
      <c r="AU417" s="249">
        <f t="shared" si="344"/>
        <v>0</v>
      </c>
      <c r="AV417" s="249">
        <f t="shared" si="345"/>
        <v>0</v>
      </c>
    </row>
    <row r="418" spans="1:48" outlineLevel="1" x14ac:dyDescent="0.25">
      <c r="A418" s="6" t="s">
        <v>816</v>
      </c>
      <c r="B418" s="75" t="s">
        <v>386</v>
      </c>
      <c r="C418" s="25"/>
      <c r="D418" s="92">
        <v>1</v>
      </c>
      <c r="E418" s="110">
        <v>900</v>
      </c>
      <c r="F418" s="93">
        <f>D418*E418</f>
        <v>900</v>
      </c>
      <c r="G418" s="74">
        <f t="shared" si="362"/>
        <v>0</v>
      </c>
      <c r="H418" s="95">
        <f t="shared" si="355"/>
        <v>900</v>
      </c>
      <c r="I418" s="112"/>
      <c r="J418" s="57">
        <v>900</v>
      </c>
      <c r="K418" s="57"/>
      <c r="L418" s="57"/>
      <c r="M418" s="57"/>
      <c r="N418" s="57"/>
      <c r="O418" s="57"/>
      <c r="P418" s="68"/>
      <c r="Q418" s="58"/>
      <c r="R418" s="93">
        <v>900</v>
      </c>
      <c r="S418" s="74">
        <f t="shared" si="346"/>
        <v>0</v>
      </c>
      <c r="T418" s="95">
        <f t="shared" si="338"/>
        <v>900</v>
      </c>
      <c r="U418" s="112"/>
      <c r="V418" s="57">
        <v>900</v>
      </c>
      <c r="W418" s="57"/>
      <c r="X418" s="57"/>
      <c r="Y418" s="57"/>
      <c r="Z418" s="57"/>
      <c r="AA418" s="57"/>
      <c r="AB418" s="68"/>
      <c r="AC418" s="58"/>
      <c r="AD418" s="170">
        <f t="shared" si="367"/>
        <v>0</v>
      </c>
      <c r="AE418" s="89">
        <f t="shared" si="350"/>
        <v>0</v>
      </c>
      <c r="AF418" s="216">
        <f t="shared" si="351"/>
        <v>0</v>
      </c>
      <c r="AG418" s="147"/>
      <c r="AH418" s="148"/>
      <c r="AI418" s="148"/>
      <c r="AJ418" s="148"/>
      <c r="AK418" s="148"/>
      <c r="AL418" s="148"/>
      <c r="AM418" s="148"/>
      <c r="AN418" s="149"/>
      <c r="AO418" s="150"/>
      <c r="AP418" s="76"/>
      <c r="AQ418" s="76"/>
      <c r="AR418" s="128"/>
      <c r="AS418" s="108">
        <f t="shared" si="342"/>
        <v>1</v>
      </c>
      <c r="AT418" s="249">
        <f t="shared" si="343"/>
        <v>1</v>
      </c>
      <c r="AU418" s="249">
        <f t="shared" si="344"/>
        <v>0</v>
      </c>
      <c r="AV418" s="249">
        <f t="shared" si="345"/>
        <v>0</v>
      </c>
    </row>
    <row r="419" spans="1:48" outlineLevel="1" x14ac:dyDescent="0.25">
      <c r="A419" s="6" t="s">
        <v>817</v>
      </c>
      <c r="B419" s="75" t="s">
        <v>387</v>
      </c>
      <c r="C419" s="25"/>
      <c r="D419" s="92">
        <v>1</v>
      </c>
      <c r="E419" s="110">
        <v>900</v>
      </c>
      <c r="F419" s="93">
        <f t="shared" si="366"/>
        <v>900</v>
      </c>
      <c r="G419" s="74">
        <f t="shared" si="362"/>
        <v>0</v>
      </c>
      <c r="H419" s="95">
        <f t="shared" si="355"/>
        <v>900</v>
      </c>
      <c r="I419" s="112"/>
      <c r="J419" s="57">
        <v>900</v>
      </c>
      <c r="K419" s="57"/>
      <c r="L419" s="57"/>
      <c r="M419" s="57"/>
      <c r="N419" s="57"/>
      <c r="O419" s="57"/>
      <c r="P419" s="68"/>
      <c r="Q419" s="58"/>
      <c r="R419" s="93">
        <v>900</v>
      </c>
      <c r="S419" s="74">
        <f t="shared" si="346"/>
        <v>0</v>
      </c>
      <c r="T419" s="95">
        <f t="shared" si="338"/>
        <v>900</v>
      </c>
      <c r="U419" s="112"/>
      <c r="V419" s="57">
        <v>900</v>
      </c>
      <c r="W419" s="57"/>
      <c r="X419" s="57"/>
      <c r="Y419" s="57"/>
      <c r="Z419" s="57"/>
      <c r="AA419" s="57"/>
      <c r="AB419" s="68"/>
      <c r="AC419" s="58"/>
      <c r="AD419" s="170">
        <f t="shared" si="367"/>
        <v>0</v>
      </c>
      <c r="AE419" s="89">
        <f t="shared" si="350"/>
        <v>0</v>
      </c>
      <c r="AF419" s="216">
        <f t="shared" si="351"/>
        <v>0</v>
      </c>
      <c r="AG419" s="147"/>
      <c r="AH419" s="148"/>
      <c r="AI419" s="148"/>
      <c r="AJ419" s="148"/>
      <c r="AK419" s="148"/>
      <c r="AL419" s="148"/>
      <c r="AM419" s="148"/>
      <c r="AN419" s="149"/>
      <c r="AO419" s="150"/>
      <c r="AP419" s="76"/>
      <c r="AQ419" s="76"/>
      <c r="AR419" s="128"/>
      <c r="AS419" s="108">
        <f t="shared" si="342"/>
        <v>1</v>
      </c>
      <c r="AT419" s="249">
        <f t="shared" si="343"/>
        <v>1</v>
      </c>
      <c r="AU419" s="249">
        <f t="shared" si="344"/>
        <v>0</v>
      </c>
      <c r="AV419" s="249">
        <f t="shared" si="345"/>
        <v>0</v>
      </c>
    </row>
    <row r="420" spans="1:48" outlineLevel="1" x14ac:dyDescent="0.25">
      <c r="A420" s="4" t="s">
        <v>1121</v>
      </c>
      <c r="B420" s="75" t="s">
        <v>47</v>
      </c>
      <c r="C420" s="25"/>
      <c r="D420" s="92">
        <v>1</v>
      </c>
      <c r="E420" s="110">
        <v>1000</v>
      </c>
      <c r="F420" s="93">
        <f t="shared" si="366"/>
        <v>1000</v>
      </c>
      <c r="G420" s="74">
        <f t="shared" si="362"/>
        <v>0</v>
      </c>
      <c r="H420" s="95">
        <f t="shared" si="355"/>
        <v>1000</v>
      </c>
      <c r="I420" s="112"/>
      <c r="J420" s="57"/>
      <c r="K420" s="57"/>
      <c r="L420" s="57"/>
      <c r="M420" s="57">
        <v>1000</v>
      </c>
      <c r="N420" s="57"/>
      <c r="O420" s="57"/>
      <c r="P420" s="68"/>
      <c r="Q420" s="58"/>
      <c r="R420" s="93">
        <v>1000</v>
      </c>
      <c r="S420" s="74">
        <f t="shared" si="346"/>
        <v>157.35990037359988</v>
      </c>
      <c r="T420" s="95">
        <f t="shared" si="338"/>
        <v>1157.3599003735999</v>
      </c>
      <c r="U420" s="112"/>
      <c r="V420" s="57"/>
      <c r="W420" s="57"/>
      <c r="X420" s="57"/>
      <c r="Y420" s="57">
        <f>1000*1.1573599003736</f>
        <v>1157.3599003735999</v>
      </c>
      <c r="Z420" s="57"/>
      <c r="AA420" s="57"/>
      <c r="AB420" s="68"/>
      <c r="AC420" s="58"/>
      <c r="AD420" s="170">
        <v>436.98</v>
      </c>
      <c r="AE420" s="89">
        <f t="shared" si="350"/>
        <v>-436.98</v>
      </c>
      <c r="AF420" s="216">
        <f t="shared" si="351"/>
        <v>0</v>
      </c>
      <c r="AG420" s="147"/>
      <c r="AH420" s="148"/>
      <c r="AI420" s="148"/>
      <c r="AJ420" s="148"/>
      <c r="AK420" s="148"/>
      <c r="AL420" s="148"/>
      <c r="AM420" s="148"/>
      <c r="AN420" s="149"/>
      <c r="AO420" s="150"/>
      <c r="AP420" s="76"/>
      <c r="AQ420" s="76"/>
      <c r="AR420" s="128"/>
      <c r="AS420" s="108">
        <f t="shared" si="342"/>
        <v>1</v>
      </c>
      <c r="AT420" s="249">
        <f t="shared" si="343"/>
        <v>1.1573599003735999</v>
      </c>
      <c r="AU420" s="249">
        <f t="shared" si="344"/>
        <v>0.43698000000000004</v>
      </c>
      <c r="AV420" s="249">
        <f t="shared" si="345"/>
        <v>0</v>
      </c>
    </row>
    <row r="421" spans="1:48" s="280" customFormat="1" ht="15.75" x14ac:dyDescent="0.25">
      <c r="A421" s="270" t="s">
        <v>403</v>
      </c>
      <c r="B421" s="271" t="s">
        <v>388</v>
      </c>
      <c r="C421" s="272"/>
      <c r="D421" s="273"/>
      <c r="E421" s="274"/>
      <c r="F421" s="264">
        <f>SUM(F422:F424)</f>
        <v>15000</v>
      </c>
      <c r="G421" s="265">
        <f>H421-F421</f>
        <v>0</v>
      </c>
      <c r="H421" s="275">
        <f t="shared" si="355"/>
        <v>15000</v>
      </c>
      <c r="I421" s="267">
        <f t="shared" ref="I421:Q421" si="368">SUM(I422:I424)</f>
        <v>2000</v>
      </c>
      <c r="J421" s="268">
        <f t="shared" si="368"/>
        <v>0</v>
      </c>
      <c r="K421" s="268">
        <f t="shared" si="368"/>
        <v>7985</v>
      </c>
      <c r="L421" s="268">
        <f t="shared" si="368"/>
        <v>0</v>
      </c>
      <c r="M421" s="268">
        <f t="shared" si="368"/>
        <v>5015</v>
      </c>
      <c r="N421" s="268">
        <f t="shared" si="368"/>
        <v>0</v>
      </c>
      <c r="O421" s="268">
        <f t="shared" si="368"/>
        <v>0</v>
      </c>
      <c r="P421" s="268">
        <f t="shared" si="368"/>
        <v>0</v>
      </c>
      <c r="Q421" s="269">
        <f t="shared" si="368"/>
        <v>0</v>
      </c>
      <c r="R421" s="264">
        <f>SUM(R422:R424)</f>
        <v>15000</v>
      </c>
      <c r="S421" s="265">
        <f t="shared" ref="S421:S429" si="369">T421-R421</f>
        <v>794.15990037360461</v>
      </c>
      <c r="T421" s="275">
        <f t="shared" si="338"/>
        <v>15794.159900373605</v>
      </c>
      <c r="U421" s="267">
        <f t="shared" ref="U421:AC421" si="370">SUM(U422:U424)</f>
        <v>2000</v>
      </c>
      <c r="V421" s="268">
        <f t="shared" si="370"/>
        <v>0</v>
      </c>
      <c r="W421" s="268">
        <f t="shared" si="370"/>
        <v>7990</v>
      </c>
      <c r="X421" s="268">
        <f t="shared" si="370"/>
        <v>0</v>
      </c>
      <c r="Y421" s="268">
        <f t="shared" si="370"/>
        <v>5804.1599003736037</v>
      </c>
      <c r="Z421" s="268">
        <f t="shared" si="370"/>
        <v>0</v>
      </c>
      <c r="AA421" s="268">
        <f t="shared" si="370"/>
        <v>0</v>
      </c>
      <c r="AB421" s="268">
        <f t="shared" si="370"/>
        <v>0</v>
      </c>
      <c r="AC421" s="269">
        <f t="shared" si="370"/>
        <v>0</v>
      </c>
      <c r="AD421" s="264">
        <f>SUM(AD422:AD424)</f>
        <v>169.12</v>
      </c>
      <c r="AE421" s="265">
        <f t="shared" si="350"/>
        <v>-169.12</v>
      </c>
      <c r="AF421" s="266">
        <f t="shared" si="351"/>
        <v>0</v>
      </c>
      <c r="AG421" s="267">
        <f t="shared" ref="AG421:AO421" si="371">SUM(AG422:AG424)</f>
        <v>0</v>
      </c>
      <c r="AH421" s="268">
        <f t="shared" si="371"/>
        <v>0</v>
      </c>
      <c r="AI421" s="268">
        <f t="shared" si="371"/>
        <v>0</v>
      </c>
      <c r="AJ421" s="268">
        <f t="shared" si="371"/>
        <v>0</v>
      </c>
      <c r="AK421" s="268">
        <f t="shared" si="371"/>
        <v>0</v>
      </c>
      <c r="AL421" s="268">
        <f t="shared" si="371"/>
        <v>0</v>
      </c>
      <c r="AM421" s="268">
        <f t="shared" si="371"/>
        <v>0</v>
      </c>
      <c r="AN421" s="268">
        <f t="shared" si="371"/>
        <v>0</v>
      </c>
      <c r="AO421" s="269">
        <f t="shared" si="371"/>
        <v>0</v>
      </c>
      <c r="AP421" s="276">
        <v>11000</v>
      </c>
      <c r="AQ421" s="276">
        <v>11223.26</v>
      </c>
      <c r="AR421" s="277">
        <f>AQ421*100/AP421</f>
        <v>102.02963636363636</v>
      </c>
      <c r="AS421" s="278">
        <f t="shared" si="342"/>
        <v>1</v>
      </c>
      <c r="AT421" s="279">
        <f t="shared" si="343"/>
        <v>1.0529439933582403</v>
      </c>
      <c r="AU421" s="279">
        <f t="shared" si="344"/>
        <v>1.1274666666666667E-2</v>
      </c>
      <c r="AV421" s="279">
        <f t="shared" si="345"/>
        <v>0</v>
      </c>
    </row>
    <row r="422" spans="1:48" outlineLevel="1" x14ac:dyDescent="0.25">
      <c r="A422" s="4" t="s">
        <v>404</v>
      </c>
      <c r="B422" s="75" t="s">
        <v>391</v>
      </c>
      <c r="C422" s="25"/>
      <c r="D422" s="92">
        <v>1</v>
      </c>
      <c r="E422" s="110">
        <v>10000</v>
      </c>
      <c r="F422" s="93">
        <f>D422*E422</f>
        <v>10000</v>
      </c>
      <c r="G422" s="74">
        <f>H422-F422</f>
        <v>0</v>
      </c>
      <c r="H422" s="95">
        <f t="shared" si="355"/>
        <v>10000</v>
      </c>
      <c r="I422" s="112">
        <v>2000</v>
      </c>
      <c r="J422" s="57"/>
      <c r="K422" s="57">
        <f>6300*0.95</f>
        <v>5985</v>
      </c>
      <c r="L422" s="57"/>
      <c r="M422" s="57">
        <f>2645-630</f>
        <v>2015</v>
      </c>
      <c r="N422" s="57"/>
      <c r="O422" s="57"/>
      <c r="P422" s="68"/>
      <c r="Q422" s="58"/>
      <c r="R422" s="93">
        <v>10000</v>
      </c>
      <c r="S422" s="74">
        <f t="shared" si="369"/>
        <v>332.08019925280314</v>
      </c>
      <c r="T422" s="95">
        <f t="shared" si="338"/>
        <v>10332.080199252803</v>
      </c>
      <c r="U422" s="112">
        <v>2000</v>
      </c>
      <c r="V422" s="57"/>
      <c r="W422" s="57">
        <v>6000</v>
      </c>
      <c r="X422" s="57"/>
      <c r="Y422" s="57">
        <f>2015*1.1573599003736</f>
        <v>2332.0801992528041</v>
      </c>
      <c r="Z422" s="57"/>
      <c r="AA422" s="57"/>
      <c r="AB422" s="68"/>
      <c r="AC422" s="58"/>
      <c r="AD422" s="170">
        <v>169.12</v>
      </c>
      <c r="AE422" s="89">
        <f t="shared" si="350"/>
        <v>-169.12</v>
      </c>
      <c r="AF422" s="216">
        <f t="shared" si="351"/>
        <v>0</v>
      </c>
      <c r="AG422" s="147"/>
      <c r="AH422" s="148"/>
      <c r="AI422" s="148"/>
      <c r="AJ422" s="148"/>
      <c r="AK422" s="148"/>
      <c r="AL422" s="148"/>
      <c r="AM422" s="148"/>
      <c r="AN422" s="149"/>
      <c r="AO422" s="150"/>
      <c r="AP422" s="76"/>
      <c r="AQ422" s="76"/>
      <c r="AR422" s="128"/>
      <c r="AS422" s="108">
        <f t="shared" si="342"/>
        <v>1</v>
      </c>
      <c r="AT422" s="249">
        <f t="shared" si="343"/>
        <v>1.0332080199252802</v>
      </c>
      <c r="AU422" s="249">
        <f t="shared" si="344"/>
        <v>1.6912E-2</v>
      </c>
      <c r="AV422" s="249">
        <f t="shared" si="345"/>
        <v>0</v>
      </c>
    </row>
    <row r="423" spans="1:48" outlineLevel="1" x14ac:dyDescent="0.25">
      <c r="A423" s="4" t="s">
        <v>405</v>
      </c>
      <c r="B423" s="75" t="s">
        <v>875</v>
      </c>
      <c r="C423" s="25"/>
      <c r="D423" s="92">
        <v>1</v>
      </c>
      <c r="E423" s="110">
        <v>3000</v>
      </c>
      <c r="F423" s="93">
        <f>D423*E423</f>
        <v>3000</v>
      </c>
      <c r="G423" s="74">
        <f>H423-F423</f>
        <v>0</v>
      </c>
      <c r="H423" s="95">
        <f t="shared" si="355"/>
        <v>3000</v>
      </c>
      <c r="I423" s="112"/>
      <c r="J423" s="57"/>
      <c r="K423" s="57"/>
      <c r="L423" s="57"/>
      <c r="M423" s="57">
        <v>3000</v>
      </c>
      <c r="N423" s="57"/>
      <c r="O423" s="57"/>
      <c r="P423" s="68"/>
      <c r="Q423" s="58"/>
      <c r="R423" s="93">
        <v>3000</v>
      </c>
      <c r="S423" s="74">
        <f t="shared" si="369"/>
        <v>472.07970112079965</v>
      </c>
      <c r="T423" s="95">
        <f t="shared" si="338"/>
        <v>3472.0797011207997</v>
      </c>
      <c r="U423" s="112"/>
      <c r="V423" s="57"/>
      <c r="W423" s="57"/>
      <c r="X423" s="57"/>
      <c r="Y423" s="57">
        <f>3000*1.1573599003736</f>
        <v>3472.0797011207997</v>
      </c>
      <c r="Z423" s="57"/>
      <c r="AA423" s="57"/>
      <c r="AB423" s="68"/>
      <c r="AC423" s="58"/>
      <c r="AD423" s="170">
        <f>P423*Q423</f>
        <v>0</v>
      </c>
      <c r="AE423" s="89">
        <f t="shared" si="350"/>
        <v>0</v>
      </c>
      <c r="AF423" s="216">
        <f t="shared" si="351"/>
        <v>0</v>
      </c>
      <c r="AG423" s="147"/>
      <c r="AH423" s="148"/>
      <c r="AI423" s="148"/>
      <c r="AJ423" s="148"/>
      <c r="AK423" s="148"/>
      <c r="AL423" s="148"/>
      <c r="AM423" s="148"/>
      <c r="AN423" s="149"/>
      <c r="AO423" s="150"/>
      <c r="AP423" s="76"/>
      <c r="AQ423" s="76"/>
      <c r="AR423" s="128"/>
      <c r="AS423" s="108">
        <f t="shared" si="342"/>
        <v>1</v>
      </c>
      <c r="AT423" s="249">
        <f t="shared" si="343"/>
        <v>1.1573599003735999</v>
      </c>
      <c r="AU423" s="249">
        <f t="shared" si="344"/>
        <v>0</v>
      </c>
      <c r="AV423" s="249">
        <f t="shared" si="345"/>
        <v>0</v>
      </c>
    </row>
    <row r="424" spans="1:48" outlineLevel="1" x14ac:dyDescent="0.25">
      <c r="A424" s="4" t="s">
        <v>1122</v>
      </c>
      <c r="B424" s="75" t="s">
        <v>47</v>
      </c>
      <c r="C424" s="25"/>
      <c r="D424" s="92">
        <v>1</v>
      </c>
      <c r="E424" s="110">
        <v>2000</v>
      </c>
      <c r="F424" s="93">
        <f>D424*E424</f>
        <v>2000</v>
      </c>
      <c r="G424" s="74">
        <f>H424-F424</f>
        <v>0</v>
      </c>
      <c r="H424" s="95">
        <f t="shared" si="355"/>
        <v>2000</v>
      </c>
      <c r="I424" s="112"/>
      <c r="J424" s="57"/>
      <c r="K424" s="57">
        <f>3400*0.95-1230</f>
        <v>2000</v>
      </c>
      <c r="L424" s="57"/>
      <c r="M424" s="57"/>
      <c r="N424" s="57"/>
      <c r="O424" s="57"/>
      <c r="P424" s="68"/>
      <c r="Q424" s="58"/>
      <c r="R424" s="93">
        <v>2000</v>
      </c>
      <c r="S424" s="74">
        <f t="shared" si="369"/>
        <v>-10</v>
      </c>
      <c r="T424" s="95">
        <f t="shared" si="338"/>
        <v>1990</v>
      </c>
      <c r="U424" s="112"/>
      <c r="V424" s="57"/>
      <c r="W424" s="57">
        <v>1990</v>
      </c>
      <c r="X424" s="57"/>
      <c r="Y424" s="57"/>
      <c r="Z424" s="57"/>
      <c r="AA424" s="57"/>
      <c r="AB424" s="68"/>
      <c r="AC424" s="58"/>
      <c r="AD424" s="170">
        <f>P424*Q424</f>
        <v>0</v>
      </c>
      <c r="AE424" s="89">
        <f t="shared" si="350"/>
        <v>0</v>
      </c>
      <c r="AF424" s="216">
        <f t="shared" si="351"/>
        <v>0</v>
      </c>
      <c r="AG424" s="147"/>
      <c r="AH424" s="148"/>
      <c r="AI424" s="148"/>
      <c r="AJ424" s="148"/>
      <c r="AK424" s="148"/>
      <c r="AL424" s="148"/>
      <c r="AM424" s="148"/>
      <c r="AN424" s="149"/>
      <c r="AO424" s="150"/>
      <c r="AP424" s="76"/>
      <c r="AQ424" s="76"/>
      <c r="AR424" s="128"/>
      <c r="AS424" s="108">
        <f t="shared" si="342"/>
        <v>1</v>
      </c>
      <c r="AT424" s="249">
        <f t="shared" si="343"/>
        <v>0.995</v>
      </c>
      <c r="AU424" s="249">
        <f t="shared" si="344"/>
        <v>0</v>
      </c>
      <c r="AV424" s="249">
        <f t="shared" si="345"/>
        <v>0</v>
      </c>
    </row>
    <row r="425" spans="1:48" s="280" customFormat="1" ht="15.75" x14ac:dyDescent="0.25">
      <c r="A425" s="270" t="s">
        <v>407</v>
      </c>
      <c r="B425" s="271" t="s">
        <v>250</v>
      </c>
      <c r="C425" s="272"/>
      <c r="D425" s="273"/>
      <c r="E425" s="274"/>
      <c r="F425" s="264">
        <f>SUM(F426:F432)</f>
        <v>18340</v>
      </c>
      <c r="G425" s="265">
        <f t="shared" si="362"/>
        <v>0</v>
      </c>
      <c r="H425" s="275">
        <f t="shared" si="355"/>
        <v>18340</v>
      </c>
      <c r="I425" s="267">
        <f t="shared" ref="I425:Q425" si="372">SUM(I426:I432)</f>
        <v>520</v>
      </c>
      <c r="J425" s="268">
        <f t="shared" si="372"/>
        <v>0</v>
      </c>
      <c r="K425" s="268">
        <f t="shared" si="372"/>
        <v>6930</v>
      </c>
      <c r="L425" s="268">
        <f t="shared" si="372"/>
        <v>0</v>
      </c>
      <c r="M425" s="268">
        <f t="shared" si="372"/>
        <v>5910</v>
      </c>
      <c r="N425" s="268">
        <f t="shared" si="372"/>
        <v>0</v>
      </c>
      <c r="O425" s="268">
        <f t="shared" si="372"/>
        <v>0</v>
      </c>
      <c r="P425" s="268">
        <f t="shared" si="372"/>
        <v>0</v>
      </c>
      <c r="Q425" s="269">
        <f t="shared" si="372"/>
        <v>4980</v>
      </c>
      <c r="R425" s="264">
        <f>SUM(R426:R432)</f>
        <v>18340</v>
      </c>
      <c r="S425" s="265">
        <f t="shared" si="369"/>
        <v>299.99701120797181</v>
      </c>
      <c r="T425" s="275">
        <f t="shared" si="338"/>
        <v>18639.997011207972</v>
      </c>
      <c r="U425" s="267">
        <f t="shared" ref="U425:AC425" si="373">SUM(U426:U432)</f>
        <v>520</v>
      </c>
      <c r="V425" s="268">
        <f t="shared" si="373"/>
        <v>0</v>
      </c>
      <c r="W425" s="268">
        <f t="shared" si="373"/>
        <v>6300</v>
      </c>
      <c r="X425" s="268">
        <f t="shared" si="373"/>
        <v>0</v>
      </c>
      <c r="Y425" s="268">
        <f t="shared" si="373"/>
        <v>6839.9970112079727</v>
      </c>
      <c r="Z425" s="268">
        <f t="shared" si="373"/>
        <v>0</v>
      </c>
      <c r="AA425" s="268">
        <f t="shared" si="373"/>
        <v>0</v>
      </c>
      <c r="AB425" s="268">
        <f t="shared" si="373"/>
        <v>0</v>
      </c>
      <c r="AC425" s="269">
        <f t="shared" si="373"/>
        <v>4980</v>
      </c>
      <c r="AD425" s="264">
        <f>SUM(AD426:AD432)</f>
        <v>850.53</v>
      </c>
      <c r="AE425" s="265">
        <f t="shared" si="350"/>
        <v>-850.53</v>
      </c>
      <c r="AF425" s="266">
        <f t="shared" si="351"/>
        <v>0</v>
      </c>
      <c r="AG425" s="267">
        <f t="shared" ref="AG425:AO425" si="374">SUM(AG426:AG432)</f>
        <v>0</v>
      </c>
      <c r="AH425" s="268">
        <f t="shared" si="374"/>
        <v>0</v>
      </c>
      <c r="AI425" s="268">
        <f t="shared" si="374"/>
        <v>0</v>
      </c>
      <c r="AJ425" s="268">
        <f t="shared" si="374"/>
        <v>0</v>
      </c>
      <c r="AK425" s="268">
        <f t="shared" si="374"/>
        <v>0</v>
      </c>
      <c r="AL425" s="268">
        <f t="shared" si="374"/>
        <v>0</v>
      </c>
      <c r="AM425" s="268">
        <f t="shared" si="374"/>
        <v>0</v>
      </c>
      <c r="AN425" s="268">
        <f t="shared" si="374"/>
        <v>0</v>
      </c>
      <c r="AO425" s="269">
        <f t="shared" si="374"/>
        <v>0</v>
      </c>
      <c r="AP425" s="276">
        <v>34725</v>
      </c>
      <c r="AQ425" s="276">
        <f>2383.26+77.76+665.13+385.18+430.39+150+3551.38+21049</f>
        <v>28692.1</v>
      </c>
      <c r="AR425" s="277">
        <f>AQ425*100/AP425</f>
        <v>82.626637868970477</v>
      </c>
      <c r="AS425" s="278">
        <f t="shared" si="342"/>
        <v>1</v>
      </c>
      <c r="AT425" s="279">
        <f t="shared" si="343"/>
        <v>1.0163575251476538</v>
      </c>
      <c r="AU425" s="279">
        <f t="shared" si="344"/>
        <v>4.6375681570338056E-2</v>
      </c>
      <c r="AV425" s="279">
        <f t="shared" si="345"/>
        <v>0</v>
      </c>
    </row>
    <row r="426" spans="1:48" outlineLevel="1" x14ac:dyDescent="0.25">
      <c r="A426" s="4" t="s">
        <v>408</v>
      </c>
      <c r="B426" s="75" t="s">
        <v>389</v>
      </c>
      <c r="C426" s="25"/>
      <c r="D426" s="92">
        <v>1</v>
      </c>
      <c r="E426" s="110">
        <v>3500</v>
      </c>
      <c r="F426" s="93">
        <f t="shared" ref="F426:F432" si="375">D426*E426</f>
        <v>3500</v>
      </c>
      <c r="G426" s="74">
        <f t="shared" si="362"/>
        <v>0</v>
      </c>
      <c r="H426" s="95">
        <f t="shared" si="355"/>
        <v>3500</v>
      </c>
      <c r="I426" s="112"/>
      <c r="J426" s="57"/>
      <c r="K426" s="57">
        <v>1230</v>
      </c>
      <c r="L426" s="57"/>
      <c r="M426" s="57">
        <f>3500-1230</f>
        <v>2270</v>
      </c>
      <c r="N426" s="57"/>
      <c r="O426" s="57"/>
      <c r="P426" s="68"/>
      <c r="Q426" s="58"/>
      <c r="R426" s="93">
        <v>3500</v>
      </c>
      <c r="S426" s="74">
        <f t="shared" si="369"/>
        <v>127.20697384806954</v>
      </c>
      <c r="T426" s="95">
        <f t="shared" si="338"/>
        <v>3627.2069738480695</v>
      </c>
      <c r="U426" s="112"/>
      <c r="V426" s="57"/>
      <c r="W426" s="57">
        <v>1000</v>
      </c>
      <c r="X426" s="57"/>
      <c r="Y426" s="57">
        <f>(3500-1230)*23234/20075</f>
        <v>2627.2069738480695</v>
      </c>
      <c r="Z426" s="57"/>
      <c r="AA426" s="57"/>
      <c r="AB426" s="68"/>
      <c r="AC426" s="58"/>
      <c r="AD426" s="170">
        <f>28.44+39.6</f>
        <v>68.040000000000006</v>
      </c>
      <c r="AE426" s="89">
        <f t="shared" si="350"/>
        <v>-68.040000000000006</v>
      </c>
      <c r="AF426" s="216">
        <f t="shared" si="351"/>
        <v>0</v>
      </c>
      <c r="AG426" s="147"/>
      <c r="AH426" s="148"/>
      <c r="AI426" s="148"/>
      <c r="AJ426" s="148"/>
      <c r="AK426" s="148"/>
      <c r="AL426" s="148"/>
      <c r="AM426" s="148"/>
      <c r="AN426" s="149"/>
      <c r="AO426" s="150"/>
      <c r="AP426" s="76"/>
      <c r="AQ426" s="76"/>
      <c r="AR426" s="128"/>
      <c r="AS426" s="108">
        <f t="shared" si="342"/>
        <v>1</v>
      </c>
      <c r="AT426" s="249">
        <f t="shared" si="343"/>
        <v>1.0363448496708769</v>
      </c>
      <c r="AU426" s="249">
        <f t="shared" si="344"/>
        <v>1.9440000000000002E-2</v>
      </c>
      <c r="AV426" s="249">
        <f t="shared" si="345"/>
        <v>0</v>
      </c>
    </row>
    <row r="427" spans="1:48" outlineLevel="1" x14ac:dyDescent="0.25">
      <c r="A427" s="4" t="s">
        <v>409</v>
      </c>
      <c r="B427" s="75" t="s">
        <v>390</v>
      </c>
      <c r="C427" s="25"/>
      <c r="D427" s="92">
        <v>1</v>
      </c>
      <c r="E427" s="110">
        <v>500</v>
      </c>
      <c r="F427" s="93">
        <f t="shared" si="375"/>
        <v>500</v>
      </c>
      <c r="G427" s="74">
        <f t="shared" si="362"/>
        <v>0</v>
      </c>
      <c r="H427" s="95">
        <f t="shared" si="355"/>
        <v>500</v>
      </c>
      <c r="I427" s="112"/>
      <c r="J427" s="57"/>
      <c r="K427" s="57"/>
      <c r="L427" s="57"/>
      <c r="M427" s="57">
        <v>500</v>
      </c>
      <c r="N427" s="57"/>
      <c r="O427" s="57"/>
      <c r="P427" s="68"/>
      <c r="Q427" s="58"/>
      <c r="R427" s="93">
        <v>500</v>
      </c>
      <c r="S427" s="74">
        <f t="shared" si="369"/>
        <v>78.679950186799942</v>
      </c>
      <c r="T427" s="95">
        <f t="shared" si="338"/>
        <v>578.67995018679994</v>
      </c>
      <c r="U427" s="112"/>
      <c r="V427" s="57"/>
      <c r="W427" s="57"/>
      <c r="X427" s="57"/>
      <c r="Y427" s="57">
        <f>500*1.1573599003736</f>
        <v>578.67995018679994</v>
      </c>
      <c r="Z427" s="57"/>
      <c r="AA427" s="57"/>
      <c r="AB427" s="68"/>
      <c r="AC427" s="58"/>
      <c r="AD427" s="170"/>
      <c r="AE427" s="89">
        <f t="shared" si="350"/>
        <v>0</v>
      </c>
      <c r="AF427" s="216">
        <f t="shared" si="351"/>
        <v>0</v>
      </c>
      <c r="AG427" s="147"/>
      <c r="AH427" s="148"/>
      <c r="AI427" s="148"/>
      <c r="AJ427" s="148"/>
      <c r="AK427" s="148"/>
      <c r="AL427" s="148"/>
      <c r="AM427" s="148"/>
      <c r="AN427" s="149"/>
      <c r="AO427" s="150"/>
      <c r="AP427" s="76"/>
      <c r="AQ427" s="76"/>
      <c r="AR427" s="128"/>
      <c r="AS427" s="108">
        <f t="shared" si="342"/>
        <v>1</v>
      </c>
      <c r="AT427" s="249">
        <f t="shared" si="343"/>
        <v>1.1573599003735999</v>
      </c>
      <c r="AU427" s="249">
        <f t="shared" si="344"/>
        <v>0</v>
      </c>
      <c r="AV427" s="249">
        <f t="shared" si="345"/>
        <v>0</v>
      </c>
    </row>
    <row r="428" spans="1:48" outlineLevel="1" x14ac:dyDescent="0.25">
      <c r="A428" s="4" t="s">
        <v>410</v>
      </c>
      <c r="B428" s="75" t="s">
        <v>876</v>
      </c>
      <c r="C428" s="25"/>
      <c r="D428" s="92">
        <v>1</v>
      </c>
      <c r="E428" s="110">
        <v>1500</v>
      </c>
      <c r="F428" s="93">
        <f t="shared" si="375"/>
        <v>1500</v>
      </c>
      <c r="G428" s="74">
        <f t="shared" si="362"/>
        <v>0</v>
      </c>
      <c r="H428" s="95">
        <f t="shared" si="355"/>
        <v>1500</v>
      </c>
      <c r="I428" s="112"/>
      <c r="J428" s="57"/>
      <c r="K428" s="57"/>
      <c r="L428" s="57"/>
      <c r="M428" s="57">
        <v>1500</v>
      </c>
      <c r="N428" s="57"/>
      <c r="O428" s="57"/>
      <c r="P428" s="68"/>
      <c r="Q428" s="58"/>
      <c r="R428" s="93">
        <v>1500</v>
      </c>
      <c r="S428" s="74">
        <f t="shared" si="369"/>
        <v>236.03985056039983</v>
      </c>
      <c r="T428" s="95">
        <f t="shared" si="338"/>
        <v>1736.0398505603998</v>
      </c>
      <c r="U428" s="112"/>
      <c r="V428" s="57"/>
      <c r="W428" s="57"/>
      <c r="X428" s="57"/>
      <c r="Y428" s="57">
        <f>1500*1.1573599003736</f>
        <v>1736.0398505603998</v>
      </c>
      <c r="Z428" s="57"/>
      <c r="AA428" s="57"/>
      <c r="AB428" s="68"/>
      <c r="AC428" s="58"/>
      <c r="AD428" s="170">
        <f>P428*Q428</f>
        <v>0</v>
      </c>
      <c r="AE428" s="89">
        <f t="shared" si="350"/>
        <v>0</v>
      </c>
      <c r="AF428" s="216">
        <f t="shared" si="351"/>
        <v>0</v>
      </c>
      <c r="AG428" s="147"/>
      <c r="AH428" s="148"/>
      <c r="AI428" s="148"/>
      <c r="AJ428" s="148"/>
      <c r="AK428" s="148"/>
      <c r="AL428" s="148"/>
      <c r="AM428" s="148"/>
      <c r="AN428" s="149"/>
      <c r="AO428" s="150"/>
      <c r="AP428" s="76"/>
      <c r="AQ428" s="76"/>
      <c r="AR428" s="128"/>
      <c r="AS428" s="108">
        <f t="shared" si="342"/>
        <v>1</v>
      </c>
      <c r="AT428" s="249">
        <f t="shared" si="343"/>
        <v>1.1573599003735999</v>
      </c>
      <c r="AU428" s="249">
        <f t="shared" si="344"/>
        <v>0</v>
      </c>
      <c r="AV428" s="249">
        <f t="shared" si="345"/>
        <v>0</v>
      </c>
    </row>
    <row r="429" spans="1:48" outlineLevel="1" x14ac:dyDescent="0.25">
      <c r="A429" s="4" t="s">
        <v>359</v>
      </c>
      <c r="B429" s="75" t="s">
        <v>877</v>
      </c>
      <c r="C429" s="25"/>
      <c r="D429" s="92">
        <v>1</v>
      </c>
      <c r="E429" s="110">
        <v>920</v>
      </c>
      <c r="F429" s="93">
        <f>D429*E429</f>
        <v>920</v>
      </c>
      <c r="G429" s="74">
        <f>H429-F429</f>
        <v>0</v>
      </c>
      <c r="H429" s="95">
        <f t="shared" si="355"/>
        <v>920</v>
      </c>
      <c r="I429" s="112"/>
      <c r="J429" s="57"/>
      <c r="K429" s="57"/>
      <c r="L429" s="57"/>
      <c r="M429" s="57">
        <v>920</v>
      </c>
      <c r="N429" s="57"/>
      <c r="O429" s="57"/>
      <c r="P429" s="68"/>
      <c r="Q429" s="58"/>
      <c r="R429" s="93">
        <v>920</v>
      </c>
      <c r="S429" s="74">
        <f t="shared" si="369"/>
        <v>144.77110834371183</v>
      </c>
      <c r="T429" s="95">
        <f t="shared" si="338"/>
        <v>1064.7711083437118</v>
      </c>
      <c r="U429" s="112"/>
      <c r="V429" s="57"/>
      <c r="W429" s="57"/>
      <c r="X429" s="57"/>
      <c r="Y429" s="57">
        <f>920*1.1573599003736</f>
        <v>1064.7711083437118</v>
      </c>
      <c r="Z429" s="57"/>
      <c r="AA429" s="57"/>
      <c r="AB429" s="68"/>
      <c r="AC429" s="58"/>
      <c r="AD429" s="170">
        <f>P429*Q429</f>
        <v>0</v>
      </c>
      <c r="AE429" s="89">
        <f t="shared" si="350"/>
        <v>0</v>
      </c>
      <c r="AF429" s="216">
        <f t="shared" si="351"/>
        <v>0</v>
      </c>
      <c r="AG429" s="147"/>
      <c r="AH429" s="148"/>
      <c r="AI429" s="148"/>
      <c r="AJ429" s="148"/>
      <c r="AK429" s="148"/>
      <c r="AL429" s="148"/>
      <c r="AM429" s="148"/>
      <c r="AN429" s="149"/>
      <c r="AO429" s="150"/>
      <c r="AP429" s="76"/>
      <c r="AQ429" s="76"/>
      <c r="AR429" s="128"/>
      <c r="AS429" s="108">
        <f t="shared" si="342"/>
        <v>1</v>
      </c>
      <c r="AT429" s="249">
        <f t="shared" si="343"/>
        <v>1.1573599003735999</v>
      </c>
      <c r="AU429" s="249">
        <f t="shared" si="344"/>
        <v>0</v>
      </c>
      <c r="AV429" s="249">
        <f t="shared" si="345"/>
        <v>0</v>
      </c>
    </row>
    <row r="430" spans="1:48" outlineLevel="1" x14ac:dyDescent="0.25">
      <c r="A430" s="4" t="s">
        <v>411</v>
      </c>
      <c r="B430" s="75" t="s">
        <v>878</v>
      </c>
      <c r="C430" s="25"/>
      <c r="D430" s="92">
        <v>1</v>
      </c>
      <c r="E430" s="110">
        <v>5700</v>
      </c>
      <c r="F430" s="93">
        <f t="shared" si="375"/>
        <v>5700</v>
      </c>
      <c r="G430" s="74">
        <f t="shared" si="362"/>
        <v>0</v>
      </c>
      <c r="H430" s="95">
        <f t="shared" si="355"/>
        <v>5700</v>
      </c>
      <c r="I430" s="112"/>
      <c r="J430" s="57"/>
      <c r="K430" s="57">
        <f>6000*0.95</f>
        <v>5700</v>
      </c>
      <c r="L430" s="57"/>
      <c r="M430" s="57"/>
      <c r="N430" s="57"/>
      <c r="O430" s="57"/>
      <c r="P430" s="68"/>
      <c r="Q430" s="58"/>
      <c r="R430" s="93">
        <v>5700</v>
      </c>
      <c r="S430" s="74">
        <f t="shared" ref="S430:S463" si="376">T430-R430</f>
        <v>-400</v>
      </c>
      <c r="T430" s="95">
        <f t="shared" si="338"/>
        <v>5300</v>
      </c>
      <c r="U430" s="112"/>
      <c r="V430" s="57"/>
      <c r="W430" s="57">
        <v>5300</v>
      </c>
      <c r="X430" s="57"/>
      <c r="Y430" s="57"/>
      <c r="Z430" s="57"/>
      <c r="AA430" s="57"/>
      <c r="AB430" s="68"/>
      <c r="AC430" s="58"/>
      <c r="AD430" s="170">
        <f>P430*Q430</f>
        <v>0</v>
      </c>
      <c r="AE430" s="89">
        <f t="shared" si="350"/>
        <v>0</v>
      </c>
      <c r="AF430" s="216">
        <f t="shared" si="351"/>
        <v>0</v>
      </c>
      <c r="AG430" s="147"/>
      <c r="AH430" s="148"/>
      <c r="AI430" s="148"/>
      <c r="AJ430" s="148"/>
      <c r="AK430" s="148"/>
      <c r="AL430" s="148"/>
      <c r="AM430" s="148"/>
      <c r="AN430" s="149"/>
      <c r="AO430" s="150"/>
      <c r="AP430" s="76"/>
      <c r="AQ430" s="76"/>
      <c r="AR430" s="128"/>
      <c r="AS430" s="108">
        <f t="shared" si="342"/>
        <v>1</v>
      </c>
      <c r="AT430" s="249">
        <f t="shared" si="343"/>
        <v>0.92982456140350878</v>
      </c>
      <c r="AU430" s="249">
        <f t="shared" si="344"/>
        <v>0</v>
      </c>
      <c r="AV430" s="249">
        <f t="shared" si="345"/>
        <v>0</v>
      </c>
    </row>
    <row r="431" spans="1:48" outlineLevel="1" x14ac:dyDescent="0.25">
      <c r="A431" s="4" t="s">
        <v>879</v>
      </c>
      <c r="B431" s="75" t="s">
        <v>991</v>
      </c>
      <c r="C431" s="25"/>
      <c r="D431" s="92">
        <v>1</v>
      </c>
      <c r="E431" s="110">
        <v>520</v>
      </c>
      <c r="F431" s="93">
        <f t="shared" si="375"/>
        <v>520</v>
      </c>
      <c r="G431" s="74">
        <f t="shared" si="362"/>
        <v>0</v>
      </c>
      <c r="H431" s="95">
        <f t="shared" si="355"/>
        <v>520</v>
      </c>
      <c r="I431" s="112">
        <v>520</v>
      </c>
      <c r="J431" s="57"/>
      <c r="K431" s="57"/>
      <c r="L431" s="57"/>
      <c r="M431" s="57"/>
      <c r="N431" s="57"/>
      <c r="O431" s="57"/>
      <c r="P431" s="68"/>
      <c r="Q431" s="58"/>
      <c r="R431" s="93">
        <v>520</v>
      </c>
      <c r="S431" s="74">
        <f t="shared" si="376"/>
        <v>0</v>
      </c>
      <c r="T431" s="95">
        <f t="shared" si="338"/>
        <v>520</v>
      </c>
      <c r="U431" s="112">
        <v>520</v>
      </c>
      <c r="V431" s="57"/>
      <c r="W431" s="57"/>
      <c r="X431" s="57"/>
      <c r="Y431" s="57"/>
      <c r="Z431" s="57"/>
      <c r="AA431" s="57"/>
      <c r="AB431" s="68"/>
      <c r="AC431" s="58"/>
      <c r="AD431" s="170">
        <f>P431*Q431</f>
        <v>0</v>
      </c>
      <c r="AE431" s="89">
        <f t="shared" si="350"/>
        <v>0</v>
      </c>
      <c r="AF431" s="216">
        <f t="shared" si="351"/>
        <v>0</v>
      </c>
      <c r="AG431" s="147"/>
      <c r="AH431" s="148"/>
      <c r="AI431" s="148"/>
      <c r="AJ431" s="148"/>
      <c r="AK431" s="148"/>
      <c r="AL431" s="148"/>
      <c r="AM431" s="148"/>
      <c r="AN431" s="149"/>
      <c r="AO431" s="150"/>
      <c r="AP431" s="76"/>
      <c r="AQ431" s="76"/>
      <c r="AR431" s="128"/>
      <c r="AS431" s="108">
        <f t="shared" si="342"/>
        <v>1</v>
      </c>
      <c r="AT431" s="249">
        <f t="shared" si="343"/>
        <v>1</v>
      </c>
      <c r="AU431" s="249">
        <f t="shared" si="344"/>
        <v>0</v>
      </c>
      <c r="AV431" s="249">
        <f t="shared" si="345"/>
        <v>0</v>
      </c>
    </row>
    <row r="432" spans="1:48" outlineLevel="1" x14ac:dyDescent="0.25">
      <c r="A432" s="4" t="s">
        <v>1123</v>
      </c>
      <c r="B432" s="75" t="s">
        <v>47</v>
      </c>
      <c r="C432" s="25"/>
      <c r="D432" s="92">
        <v>1</v>
      </c>
      <c r="E432" s="110">
        <v>5700</v>
      </c>
      <c r="F432" s="93">
        <f t="shared" si="375"/>
        <v>5700</v>
      </c>
      <c r="G432" s="74">
        <f t="shared" si="362"/>
        <v>0</v>
      </c>
      <c r="H432" s="95">
        <f t="shared" si="355"/>
        <v>5700</v>
      </c>
      <c r="I432" s="112"/>
      <c r="J432" s="57"/>
      <c r="K432" s="57"/>
      <c r="L432" s="57"/>
      <c r="M432" s="57">
        <v>720</v>
      </c>
      <c r="N432" s="57"/>
      <c r="O432" s="57"/>
      <c r="P432" s="68"/>
      <c r="Q432" s="58">
        <v>4980</v>
      </c>
      <c r="R432" s="93">
        <v>5700</v>
      </c>
      <c r="S432" s="74">
        <f t="shared" si="376"/>
        <v>113.29912826899181</v>
      </c>
      <c r="T432" s="95">
        <f t="shared" si="338"/>
        <v>5813.2991282689918</v>
      </c>
      <c r="U432" s="112"/>
      <c r="V432" s="57"/>
      <c r="W432" s="57"/>
      <c r="X432" s="57"/>
      <c r="Y432" s="57">
        <f>720*1.1573599003736</f>
        <v>833.29912826899192</v>
      </c>
      <c r="Z432" s="57"/>
      <c r="AA432" s="57"/>
      <c r="AB432" s="68"/>
      <c r="AC432" s="58">
        <v>4980</v>
      </c>
      <c r="AD432" s="170">
        <v>782.49</v>
      </c>
      <c r="AE432" s="89">
        <f t="shared" si="350"/>
        <v>-782.49</v>
      </c>
      <c r="AF432" s="216">
        <f t="shared" si="351"/>
        <v>0</v>
      </c>
      <c r="AG432" s="147"/>
      <c r="AH432" s="148"/>
      <c r="AI432" s="148"/>
      <c r="AJ432" s="148"/>
      <c r="AK432" s="148"/>
      <c r="AL432" s="148"/>
      <c r="AM432" s="148"/>
      <c r="AN432" s="149"/>
      <c r="AO432" s="150"/>
      <c r="AP432" s="76"/>
      <c r="AQ432" s="76"/>
      <c r="AR432" s="128"/>
      <c r="AS432" s="108">
        <f t="shared" si="342"/>
        <v>1</v>
      </c>
      <c r="AT432" s="249">
        <f t="shared" si="343"/>
        <v>1.0198770400471915</v>
      </c>
      <c r="AU432" s="249">
        <f t="shared" si="344"/>
        <v>0.13727894736842106</v>
      </c>
      <c r="AV432" s="249">
        <f t="shared" si="345"/>
        <v>0</v>
      </c>
    </row>
    <row r="433" spans="1:48" s="280" customFormat="1" ht="15.75" x14ac:dyDescent="0.25">
      <c r="A433" s="270" t="s">
        <v>413</v>
      </c>
      <c r="B433" s="271" t="s">
        <v>286</v>
      </c>
      <c r="C433" s="272"/>
      <c r="D433" s="273"/>
      <c r="E433" s="274"/>
      <c r="F433" s="264">
        <f>SUM(F434:F437)</f>
        <v>6160</v>
      </c>
      <c r="G433" s="265">
        <f t="shared" si="362"/>
        <v>0</v>
      </c>
      <c r="H433" s="275">
        <f t="shared" si="355"/>
        <v>6160</v>
      </c>
      <c r="I433" s="267">
        <f t="shared" ref="I433:Q433" si="377">SUM(I434:I437)</f>
        <v>0</v>
      </c>
      <c r="J433" s="268">
        <f t="shared" si="377"/>
        <v>0</v>
      </c>
      <c r="K433" s="268">
        <f t="shared" si="377"/>
        <v>5200</v>
      </c>
      <c r="L433" s="268">
        <f t="shared" si="377"/>
        <v>0</v>
      </c>
      <c r="M433" s="268">
        <f t="shared" si="377"/>
        <v>960</v>
      </c>
      <c r="N433" s="268">
        <f t="shared" si="377"/>
        <v>0</v>
      </c>
      <c r="O433" s="268">
        <f t="shared" si="377"/>
        <v>0</v>
      </c>
      <c r="P433" s="268">
        <f t="shared" si="377"/>
        <v>0</v>
      </c>
      <c r="Q433" s="269">
        <f t="shared" si="377"/>
        <v>0</v>
      </c>
      <c r="R433" s="264">
        <f>SUM(R434:R437)</f>
        <v>6160</v>
      </c>
      <c r="S433" s="265">
        <f t="shared" si="376"/>
        <v>151.06550435865574</v>
      </c>
      <c r="T433" s="275">
        <f t="shared" si="338"/>
        <v>6311.0655043586557</v>
      </c>
      <c r="U433" s="267">
        <f t="shared" ref="U433:AC433" si="378">SUM(U434:U437)</f>
        <v>0</v>
      </c>
      <c r="V433" s="268">
        <f t="shared" si="378"/>
        <v>0</v>
      </c>
      <c r="W433" s="268">
        <f t="shared" si="378"/>
        <v>5200</v>
      </c>
      <c r="X433" s="268">
        <f t="shared" si="378"/>
        <v>0</v>
      </c>
      <c r="Y433" s="268">
        <f t="shared" si="378"/>
        <v>1111.065504358656</v>
      </c>
      <c r="Z433" s="268">
        <f t="shared" si="378"/>
        <v>0</v>
      </c>
      <c r="AA433" s="268">
        <f t="shared" si="378"/>
        <v>0</v>
      </c>
      <c r="AB433" s="268">
        <f t="shared" si="378"/>
        <v>0</v>
      </c>
      <c r="AC433" s="269">
        <f t="shared" si="378"/>
        <v>0</v>
      </c>
      <c r="AD433" s="264">
        <f>SUM(AD434:AD437)</f>
        <v>1081.8900000000001</v>
      </c>
      <c r="AE433" s="265">
        <f t="shared" si="350"/>
        <v>-1081.8900000000001</v>
      </c>
      <c r="AF433" s="266">
        <f t="shared" si="351"/>
        <v>0</v>
      </c>
      <c r="AG433" s="267">
        <f t="shared" ref="AG433:AO433" si="379">SUM(AG434:AG437)</f>
        <v>0</v>
      </c>
      <c r="AH433" s="268">
        <f t="shared" si="379"/>
        <v>0</v>
      </c>
      <c r="AI433" s="268">
        <f t="shared" si="379"/>
        <v>0</v>
      </c>
      <c r="AJ433" s="268">
        <f t="shared" si="379"/>
        <v>0</v>
      </c>
      <c r="AK433" s="268">
        <f t="shared" si="379"/>
        <v>0</v>
      </c>
      <c r="AL433" s="268">
        <f t="shared" si="379"/>
        <v>0</v>
      </c>
      <c r="AM433" s="268">
        <f t="shared" si="379"/>
        <v>0</v>
      </c>
      <c r="AN433" s="268">
        <f t="shared" si="379"/>
        <v>0</v>
      </c>
      <c r="AO433" s="269">
        <f t="shared" si="379"/>
        <v>0</v>
      </c>
      <c r="AP433" s="276">
        <v>7000</v>
      </c>
      <c r="AQ433" s="276">
        <f>222.8+1779.93+3320.91</f>
        <v>5323.6399999999994</v>
      </c>
      <c r="AR433" s="277">
        <f>AQ433*100/AP433</f>
        <v>76.052000000000007</v>
      </c>
      <c r="AS433" s="278">
        <f t="shared" si="342"/>
        <v>1</v>
      </c>
      <c r="AT433" s="279">
        <f t="shared" si="343"/>
        <v>1.0245236208374442</v>
      </c>
      <c r="AU433" s="279">
        <f t="shared" si="344"/>
        <v>0.17563149350649351</v>
      </c>
      <c r="AV433" s="279">
        <f t="shared" si="345"/>
        <v>0</v>
      </c>
    </row>
    <row r="434" spans="1:48" outlineLevel="1" x14ac:dyDescent="0.25">
      <c r="A434" s="4" t="s">
        <v>414</v>
      </c>
      <c r="B434" s="75" t="s">
        <v>880</v>
      </c>
      <c r="C434" s="25"/>
      <c r="D434" s="92">
        <v>1</v>
      </c>
      <c r="E434" s="110">
        <v>3500</v>
      </c>
      <c r="F434" s="93">
        <f>D434*E434</f>
        <v>3500</v>
      </c>
      <c r="G434" s="74">
        <f t="shared" si="362"/>
        <v>0</v>
      </c>
      <c r="H434" s="95">
        <f t="shared" si="355"/>
        <v>3500</v>
      </c>
      <c r="I434" s="112"/>
      <c r="J434" s="57"/>
      <c r="K434" s="57">
        <v>3500</v>
      </c>
      <c r="L434" s="57"/>
      <c r="M434" s="57"/>
      <c r="N434" s="57"/>
      <c r="O434" s="57"/>
      <c r="P434" s="68"/>
      <c r="Q434" s="58"/>
      <c r="R434" s="93">
        <v>3500</v>
      </c>
      <c r="S434" s="74">
        <f t="shared" si="376"/>
        <v>0</v>
      </c>
      <c r="T434" s="95">
        <f t="shared" si="338"/>
        <v>3500</v>
      </c>
      <c r="U434" s="112"/>
      <c r="V434" s="57"/>
      <c r="W434" s="57">
        <v>3500</v>
      </c>
      <c r="X434" s="57"/>
      <c r="Y434" s="57"/>
      <c r="Z434" s="57"/>
      <c r="AA434" s="57"/>
      <c r="AB434" s="68"/>
      <c r="AC434" s="58"/>
      <c r="AD434" s="170">
        <v>1081.8900000000001</v>
      </c>
      <c r="AE434" s="89">
        <f t="shared" si="350"/>
        <v>-1081.8900000000001</v>
      </c>
      <c r="AF434" s="216">
        <f t="shared" si="351"/>
        <v>0</v>
      </c>
      <c r="AG434" s="147"/>
      <c r="AH434" s="148"/>
      <c r="AI434" s="148"/>
      <c r="AJ434" s="148"/>
      <c r="AK434" s="148"/>
      <c r="AL434" s="148"/>
      <c r="AM434" s="148"/>
      <c r="AN434" s="149"/>
      <c r="AO434" s="150"/>
      <c r="AP434" s="76"/>
      <c r="AQ434" s="76"/>
      <c r="AR434" s="128"/>
      <c r="AS434" s="108">
        <f t="shared" si="342"/>
        <v>1</v>
      </c>
      <c r="AT434" s="249">
        <f t="shared" si="343"/>
        <v>1</v>
      </c>
      <c r="AU434" s="249">
        <f t="shared" si="344"/>
        <v>0.30911142857142859</v>
      </c>
      <c r="AV434" s="249">
        <f t="shared" si="345"/>
        <v>0</v>
      </c>
    </row>
    <row r="435" spans="1:48" outlineLevel="1" x14ac:dyDescent="0.25">
      <c r="A435" s="6" t="s">
        <v>1124</v>
      </c>
      <c r="B435" s="75" t="s">
        <v>881</v>
      </c>
      <c r="C435" s="25"/>
      <c r="D435" s="92">
        <v>1</v>
      </c>
      <c r="E435" s="110">
        <v>960</v>
      </c>
      <c r="F435" s="93">
        <f>D435*E435</f>
        <v>960</v>
      </c>
      <c r="G435" s="74">
        <f t="shared" si="362"/>
        <v>0</v>
      </c>
      <c r="H435" s="95">
        <f t="shared" si="355"/>
        <v>960</v>
      </c>
      <c r="I435" s="112"/>
      <c r="J435" s="57"/>
      <c r="K435" s="57"/>
      <c r="L435" s="57"/>
      <c r="M435" s="57">
        <v>960</v>
      </c>
      <c r="N435" s="57"/>
      <c r="O435" s="57"/>
      <c r="P435" s="68"/>
      <c r="Q435" s="58"/>
      <c r="R435" s="93">
        <v>960</v>
      </c>
      <c r="S435" s="74">
        <f t="shared" si="376"/>
        <v>151.06550435865597</v>
      </c>
      <c r="T435" s="95">
        <f t="shared" si="338"/>
        <v>1111.065504358656</v>
      </c>
      <c r="U435" s="112"/>
      <c r="V435" s="57"/>
      <c r="W435" s="57"/>
      <c r="X435" s="57"/>
      <c r="Y435" s="57">
        <f>960*1.1573599003736</f>
        <v>1111.065504358656</v>
      </c>
      <c r="Z435" s="57"/>
      <c r="AA435" s="57"/>
      <c r="AB435" s="68"/>
      <c r="AC435" s="58"/>
      <c r="AD435" s="170">
        <f>P435*Q435</f>
        <v>0</v>
      </c>
      <c r="AE435" s="89">
        <f t="shared" si="350"/>
        <v>0</v>
      </c>
      <c r="AF435" s="216">
        <f t="shared" si="351"/>
        <v>0</v>
      </c>
      <c r="AG435" s="147"/>
      <c r="AH435" s="148"/>
      <c r="AI435" s="148"/>
      <c r="AJ435" s="148"/>
      <c r="AK435" s="148"/>
      <c r="AL435" s="148"/>
      <c r="AM435" s="148"/>
      <c r="AN435" s="149"/>
      <c r="AO435" s="150"/>
      <c r="AP435" s="76"/>
      <c r="AQ435" s="76"/>
      <c r="AR435" s="128"/>
      <c r="AS435" s="108">
        <f t="shared" si="342"/>
        <v>1</v>
      </c>
      <c r="AT435" s="249">
        <f t="shared" si="343"/>
        <v>1.1573599003735999</v>
      </c>
      <c r="AU435" s="249">
        <f t="shared" si="344"/>
        <v>0</v>
      </c>
      <c r="AV435" s="249">
        <f t="shared" si="345"/>
        <v>0</v>
      </c>
    </row>
    <row r="436" spans="1:48" outlineLevel="1" x14ac:dyDescent="0.25">
      <c r="A436" s="4" t="s">
        <v>1125</v>
      </c>
      <c r="B436" s="75" t="s">
        <v>381</v>
      </c>
      <c r="C436" s="25"/>
      <c r="D436" s="92">
        <v>1</v>
      </c>
      <c r="E436" s="110">
        <v>1700</v>
      </c>
      <c r="F436" s="93">
        <f>D436*E436</f>
        <v>1700</v>
      </c>
      <c r="G436" s="74">
        <f t="shared" si="362"/>
        <v>0</v>
      </c>
      <c r="H436" s="95">
        <f t="shared" si="355"/>
        <v>1700</v>
      </c>
      <c r="I436" s="112"/>
      <c r="J436" s="57"/>
      <c r="K436" s="57">
        <v>1700</v>
      </c>
      <c r="L436" s="57"/>
      <c r="M436" s="57"/>
      <c r="N436" s="57"/>
      <c r="O436" s="57"/>
      <c r="P436" s="68"/>
      <c r="Q436" s="58"/>
      <c r="R436" s="93">
        <v>1700</v>
      </c>
      <c r="S436" s="74">
        <f t="shared" si="376"/>
        <v>0</v>
      </c>
      <c r="T436" s="95">
        <f t="shared" si="338"/>
        <v>1700</v>
      </c>
      <c r="U436" s="112"/>
      <c r="V436" s="57"/>
      <c r="W436" s="57">
        <v>1700</v>
      </c>
      <c r="X436" s="57"/>
      <c r="Y436" s="57"/>
      <c r="Z436" s="57"/>
      <c r="AA436" s="57"/>
      <c r="AB436" s="68"/>
      <c r="AC436" s="58"/>
      <c r="AD436" s="170">
        <f>P436*Q436</f>
        <v>0</v>
      </c>
      <c r="AE436" s="89">
        <f t="shared" si="350"/>
        <v>0</v>
      </c>
      <c r="AF436" s="216">
        <f t="shared" si="351"/>
        <v>0</v>
      </c>
      <c r="AG436" s="147"/>
      <c r="AH436" s="148"/>
      <c r="AI436" s="148"/>
      <c r="AJ436" s="148"/>
      <c r="AK436" s="148"/>
      <c r="AL436" s="148"/>
      <c r="AM436" s="148"/>
      <c r="AN436" s="149"/>
      <c r="AO436" s="150"/>
      <c r="AP436" s="76"/>
      <c r="AQ436" s="76"/>
      <c r="AR436" s="128"/>
      <c r="AS436" s="108">
        <f t="shared" si="342"/>
        <v>1</v>
      </c>
      <c r="AT436" s="249">
        <f t="shared" si="343"/>
        <v>1</v>
      </c>
      <c r="AU436" s="249">
        <f t="shared" si="344"/>
        <v>0</v>
      </c>
      <c r="AV436" s="249">
        <f t="shared" si="345"/>
        <v>0</v>
      </c>
    </row>
    <row r="437" spans="1:48" outlineLevel="1" x14ac:dyDescent="0.25">
      <c r="A437" s="4" t="s">
        <v>1126</v>
      </c>
      <c r="B437" s="75" t="s">
        <v>47</v>
      </c>
      <c r="C437" s="25"/>
      <c r="D437" s="92"/>
      <c r="E437" s="110"/>
      <c r="F437" s="93">
        <f>D437*E437</f>
        <v>0</v>
      </c>
      <c r="G437" s="74">
        <f t="shared" si="362"/>
        <v>0</v>
      </c>
      <c r="H437" s="95">
        <f t="shared" si="355"/>
        <v>0</v>
      </c>
      <c r="I437" s="112"/>
      <c r="J437" s="57"/>
      <c r="K437" s="57"/>
      <c r="L437" s="57"/>
      <c r="M437" s="57"/>
      <c r="N437" s="57"/>
      <c r="O437" s="57"/>
      <c r="P437" s="68"/>
      <c r="Q437" s="58"/>
      <c r="R437" s="93">
        <v>0</v>
      </c>
      <c r="S437" s="74">
        <f t="shared" si="376"/>
        <v>0</v>
      </c>
      <c r="T437" s="95">
        <f t="shared" si="338"/>
        <v>0</v>
      </c>
      <c r="U437" s="112"/>
      <c r="V437" s="57"/>
      <c r="W437" s="57"/>
      <c r="X437" s="57"/>
      <c r="Y437" s="57"/>
      <c r="Z437" s="57"/>
      <c r="AA437" s="57"/>
      <c r="AB437" s="68"/>
      <c r="AC437" s="58"/>
      <c r="AD437" s="170">
        <f>P437*Q437</f>
        <v>0</v>
      </c>
      <c r="AE437" s="89">
        <f t="shared" si="350"/>
        <v>0</v>
      </c>
      <c r="AF437" s="216">
        <f t="shared" si="351"/>
        <v>0</v>
      </c>
      <c r="AG437" s="147"/>
      <c r="AH437" s="148"/>
      <c r="AI437" s="148"/>
      <c r="AJ437" s="148"/>
      <c r="AK437" s="148"/>
      <c r="AL437" s="148"/>
      <c r="AM437" s="148"/>
      <c r="AN437" s="149"/>
      <c r="AO437" s="150"/>
      <c r="AP437" s="76"/>
      <c r="AQ437" s="76"/>
      <c r="AR437" s="128"/>
      <c r="AS437" s="108"/>
      <c r="AT437" s="249"/>
      <c r="AU437" s="249"/>
      <c r="AV437" s="249"/>
    </row>
    <row r="438" spans="1:48" s="280" customFormat="1" ht="15.75" x14ac:dyDescent="0.25">
      <c r="A438" s="270" t="s">
        <v>950</v>
      </c>
      <c r="B438" s="271" t="s">
        <v>495</v>
      </c>
      <c r="C438" s="272"/>
      <c r="D438" s="273"/>
      <c r="E438" s="274"/>
      <c r="F438" s="264">
        <f>SUM(F439:F439)</f>
        <v>11980</v>
      </c>
      <c r="G438" s="265">
        <f t="shared" si="362"/>
        <v>0</v>
      </c>
      <c r="H438" s="275">
        <f t="shared" si="355"/>
        <v>11980</v>
      </c>
      <c r="I438" s="267">
        <f t="shared" ref="I438:AO438" si="380">SUM(I439:I439)</f>
        <v>0</v>
      </c>
      <c r="J438" s="268">
        <f t="shared" si="380"/>
        <v>0</v>
      </c>
      <c r="K438" s="268">
        <f t="shared" si="380"/>
        <v>310</v>
      </c>
      <c r="L438" s="268">
        <f t="shared" si="380"/>
        <v>0</v>
      </c>
      <c r="M438" s="268">
        <f t="shared" si="380"/>
        <v>6690</v>
      </c>
      <c r="N438" s="268">
        <f t="shared" si="380"/>
        <v>0</v>
      </c>
      <c r="O438" s="268">
        <f t="shared" si="380"/>
        <v>0</v>
      </c>
      <c r="P438" s="268">
        <f t="shared" si="380"/>
        <v>0</v>
      </c>
      <c r="Q438" s="269">
        <f t="shared" si="380"/>
        <v>4980</v>
      </c>
      <c r="R438" s="264">
        <f>SUM(R439:R439)</f>
        <v>11980</v>
      </c>
      <c r="S438" s="265">
        <f t="shared" si="376"/>
        <v>1052.7377334993835</v>
      </c>
      <c r="T438" s="275">
        <f t="shared" si="338"/>
        <v>13032.737733499383</v>
      </c>
      <c r="U438" s="267">
        <f t="shared" si="380"/>
        <v>0</v>
      </c>
      <c r="V438" s="268">
        <f t="shared" si="380"/>
        <v>0</v>
      </c>
      <c r="W438" s="268">
        <f t="shared" si="380"/>
        <v>310</v>
      </c>
      <c r="X438" s="268">
        <f t="shared" si="380"/>
        <v>0</v>
      </c>
      <c r="Y438" s="268">
        <f t="shared" si="380"/>
        <v>7742.7377334993835</v>
      </c>
      <c r="Z438" s="268">
        <f t="shared" si="380"/>
        <v>0</v>
      </c>
      <c r="AA438" s="268">
        <f t="shared" si="380"/>
        <v>0</v>
      </c>
      <c r="AB438" s="268">
        <f t="shared" si="380"/>
        <v>0</v>
      </c>
      <c r="AC438" s="269">
        <f t="shared" si="380"/>
        <v>4980</v>
      </c>
      <c r="AD438" s="264">
        <f>SUM(AD439:AD439)</f>
        <v>0</v>
      </c>
      <c r="AE438" s="265">
        <f t="shared" si="350"/>
        <v>0</v>
      </c>
      <c r="AF438" s="266">
        <f t="shared" si="351"/>
        <v>0</v>
      </c>
      <c r="AG438" s="267">
        <f t="shared" si="380"/>
        <v>0</v>
      </c>
      <c r="AH438" s="268">
        <f t="shared" si="380"/>
        <v>0</v>
      </c>
      <c r="AI438" s="268">
        <f t="shared" si="380"/>
        <v>0</v>
      </c>
      <c r="AJ438" s="268">
        <f t="shared" si="380"/>
        <v>0</v>
      </c>
      <c r="AK438" s="268">
        <f t="shared" si="380"/>
        <v>0</v>
      </c>
      <c r="AL438" s="268">
        <f t="shared" si="380"/>
        <v>0</v>
      </c>
      <c r="AM438" s="268">
        <f t="shared" si="380"/>
        <v>0</v>
      </c>
      <c r="AN438" s="268">
        <f t="shared" si="380"/>
        <v>0</v>
      </c>
      <c r="AO438" s="269">
        <f t="shared" si="380"/>
        <v>0</v>
      </c>
      <c r="AP438" s="276">
        <v>24900</v>
      </c>
      <c r="AQ438" s="276">
        <f>7000</f>
        <v>7000</v>
      </c>
      <c r="AR438" s="277">
        <f>AQ438*100/AP438</f>
        <v>28.112449799196789</v>
      </c>
      <c r="AS438" s="278">
        <f t="shared" si="342"/>
        <v>1</v>
      </c>
      <c r="AT438" s="279">
        <f t="shared" si="343"/>
        <v>1.0878746021284962</v>
      </c>
      <c r="AU438" s="279">
        <f t="shared" si="344"/>
        <v>0</v>
      </c>
      <c r="AV438" s="279">
        <f t="shared" si="345"/>
        <v>0</v>
      </c>
    </row>
    <row r="439" spans="1:48" outlineLevel="1" x14ac:dyDescent="0.25">
      <c r="A439" s="4" t="s">
        <v>1127</v>
      </c>
      <c r="B439" s="75" t="s">
        <v>495</v>
      </c>
      <c r="C439" s="25"/>
      <c r="D439" s="92">
        <v>1</v>
      </c>
      <c r="E439" s="110">
        <f>7000+4980</f>
        <v>11980</v>
      </c>
      <c r="F439" s="93">
        <f>D439*E439</f>
        <v>11980</v>
      </c>
      <c r="G439" s="74">
        <f t="shared" si="362"/>
        <v>0</v>
      </c>
      <c r="H439" s="95">
        <f t="shared" si="355"/>
        <v>11980</v>
      </c>
      <c r="I439" s="112"/>
      <c r="J439" s="57"/>
      <c r="K439" s="57">
        <v>310</v>
      </c>
      <c r="L439" s="57"/>
      <c r="M439" s="57">
        <f>11670-4980</f>
        <v>6690</v>
      </c>
      <c r="N439" s="57"/>
      <c r="O439" s="57"/>
      <c r="P439" s="57"/>
      <c r="Q439" s="58">
        <v>4980</v>
      </c>
      <c r="R439" s="93">
        <v>11980</v>
      </c>
      <c r="S439" s="74">
        <f t="shared" si="376"/>
        <v>1052.7377334993835</v>
      </c>
      <c r="T439" s="95">
        <f t="shared" si="338"/>
        <v>13032.737733499383</v>
      </c>
      <c r="U439" s="112"/>
      <c r="V439" s="57"/>
      <c r="W439" s="57">
        <v>310</v>
      </c>
      <c r="X439" s="57"/>
      <c r="Y439" s="57">
        <f>6690*1.1573599003736</f>
        <v>7742.7377334993835</v>
      </c>
      <c r="Z439" s="57"/>
      <c r="AA439" s="57"/>
      <c r="AB439" s="57"/>
      <c r="AC439" s="58">
        <v>4980</v>
      </c>
      <c r="AD439" s="170">
        <f>P439*Q439</f>
        <v>0</v>
      </c>
      <c r="AE439" s="89">
        <f t="shared" si="350"/>
        <v>0</v>
      </c>
      <c r="AF439" s="216">
        <f t="shared" si="351"/>
        <v>0</v>
      </c>
      <c r="AG439" s="147"/>
      <c r="AH439" s="148"/>
      <c r="AI439" s="148"/>
      <c r="AJ439" s="148"/>
      <c r="AK439" s="148"/>
      <c r="AL439" s="148"/>
      <c r="AM439" s="148"/>
      <c r="AN439" s="148"/>
      <c r="AO439" s="150"/>
      <c r="AP439" s="76"/>
      <c r="AQ439" s="76"/>
      <c r="AR439" s="128"/>
      <c r="AS439" s="108">
        <f t="shared" si="342"/>
        <v>1</v>
      </c>
      <c r="AT439" s="249">
        <f t="shared" si="343"/>
        <v>1.0878746021284962</v>
      </c>
      <c r="AU439" s="249">
        <f t="shared" si="344"/>
        <v>0</v>
      </c>
      <c r="AV439" s="249">
        <f t="shared" si="345"/>
        <v>0</v>
      </c>
    </row>
    <row r="440" spans="1:48" s="2" customFormat="1" ht="21" x14ac:dyDescent="0.35">
      <c r="A440" s="8" t="s">
        <v>415</v>
      </c>
      <c r="B440" s="12" t="s">
        <v>392</v>
      </c>
      <c r="C440" s="21"/>
      <c r="D440" s="22"/>
      <c r="E440" s="15"/>
      <c r="F440" s="84">
        <f>F441+F446+F451+F458+F464</f>
        <v>106230</v>
      </c>
      <c r="G440" s="89">
        <f t="shared" si="362"/>
        <v>0</v>
      </c>
      <c r="H440" s="16">
        <f t="shared" si="355"/>
        <v>106230</v>
      </c>
      <c r="I440" s="51">
        <f t="shared" ref="I440:R440" si="381">I441+I446+I451+I458+I464</f>
        <v>11270</v>
      </c>
      <c r="J440" s="51">
        <f t="shared" si="381"/>
        <v>17000</v>
      </c>
      <c r="K440" s="51">
        <f t="shared" si="381"/>
        <v>60230</v>
      </c>
      <c r="L440" s="51">
        <f t="shared" si="381"/>
        <v>0</v>
      </c>
      <c r="M440" s="51">
        <f t="shared" si="381"/>
        <v>0</v>
      </c>
      <c r="N440" s="51">
        <f t="shared" si="381"/>
        <v>7730</v>
      </c>
      <c r="O440" s="51">
        <f t="shared" si="381"/>
        <v>10000</v>
      </c>
      <c r="P440" s="51">
        <f t="shared" si="381"/>
        <v>0</v>
      </c>
      <c r="Q440" s="59">
        <f t="shared" si="381"/>
        <v>0</v>
      </c>
      <c r="R440" s="84">
        <f t="shared" si="381"/>
        <v>106230</v>
      </c>
      <c r="S440" s="89">
        <f t="shared" si="376"/>
        <v>3070</v>
      </c>
      <c r="T440" s="16">
        <f t="shared" si="338"/>
        <v>109300</v>
      </c>
      <c r="U440" s="51">
        <f t="shared" ref="U440:AC440" si="382">U441+U446+U451+U458+U464</f>
        <v>11270</v>
      </c>
      <c r="V440" s="51">
        <f t="shared" si="382"/>
        <v>17000</v>
      </c>
      <c r="W440" s="218">
        <f t="shared" si="382"/>
        <v>63300</v>
      </c>
      <c r="X440" s="51">
        <f t="shared" si="382"/>
        <v>0</v>
      </c>
      <c r="Y440" s="51">
        <f t="shared" si="382"/>
        <v>0</v>
      </c>
      <c r="Z440" s="51">
        <f t="shared" si="382"/>
        <v>7730</v>
      </c>
      <c r="AA440" s="51">
        <f t="shared" si="382"/>
        <v>10000</v>
      </c>
      <c r="AB440" s="51">
        <f t="shared" si="382"/>
        <v>0</v>
      </c>
      <c r="AC440" s="59">
        <f t="shared" si="382"/>
        <v>0</v>
      </c>
      <c r="AD440" s="255">
        <f>AD441+AD446+AD451+AD458+AD464</f>
        <v>9338.5</v>
      </c>
      <c r="AE440" s="256">
        <f t="shared" si="350"/>
        <v>14533.5</v>
      </c>
      <c r="AF440" s="257">
        <f t="shared" si="351"/>
        <v>23872</v>
      </c>
      <c r="AG440" s="260">
        <f t="shared" ref="AG440:AO440" si="383">AG441+AG446+AG451+AG458+AG464</f>
        <v>0</v>
      </c>
      <c r="AH440" s="262">
        <v>1404</v>
      </c>
      <c r="AI440" s="262">
        <v>22000</v>
      </c>
      <c r="AJ440" s="262">
        <f t="shared" si="383"/>
        <v>0</v>
      </c>
      <c r="AK440" s="262">
        <f t="shared" si="383"/>
        <v>0</v>
      </c>
      <c r="AL440" s="262">
        <f t="shared" si="383"/>
        <v>0</v>
      </c>
      <c r="AM440" s="262">
        <v>468</v>
      </c>
      <c r="AN440" s="260">
        <f t="shared" si="383"/>
        <v>0</v>
      </c>
      <c r="AO440" s="261">
        <f t="shared" si="383"/>
        <v>0</v>
      </c>
      <c r="AP440" s="32">
        <f>+AP441+AP446+AP451+AP458+AP464</f>
        <v>133597</v>
      </c>
      <c r="AQ440" s="32">
        <f>AQ441+AQ446+AQ451+AQ458+AQ464</f>
        <v>105113.53</v>
      </c>
      <c r="AR440" s="126">
        <f>AQ440*100/AP440</f>
        <v>78.679558672724681</v>
      </c>
      <c r="AS440" s="108">
        <f t="shared" si="342"/>
        <v>1</v>
      </c>
      <c r="AT440" s="249">
        <f t="shared" si="343"/>
        <v>1.0288995575637767</v>
      </c>
      <c r="AU440" s="249">
        <f t="shared" si="344"/>
        <v>8.7908312152875839E-2</v>
      </c>
      <c r="AV440" s="249">
        <f t="shared" si="345"/>
        <v>0.22471994728419467</v>
      </c>
    </row>
    <row r="441" spans="1:48" s="280" customFormat="1" ht="15.75" x14ac:dyDescent="0.25">
      <c r="A441" s="270" t="s">
        <v>417</v>
      </c>
      <c r="B441" s="271" t="s">
        <v>265</v>
      </c>
      <c r="C441" s="272"/>
      <c r="D441" s="273"/>
      <c r="E441" s="274"/>
      <c r="F441" s="264">
        <f>SUM(F442:F445)</f>
        <v>1000</v>
      </c>
      <c r="G441" s="265">
        <f t="shared" si="362"/>
        <v>0</v>
      </c>
      <c r="H441" s="275">
        <f t="shared" si="355"/>
        <v>1000</v>
      </c>
      <c r="I441" s="267">
        <f t="shared" ref="I441:Q441" si="384">SUM(I442:I445)</f>
        <v>1000</v>
      </c>
      <c r="J441" s="268">
        <f t="shared" si="384"/>
        <v>0</v>
      </c>
      <c r="K441" s="268">
        <f t="shared" si="384"/>
        <v>0</v>
      </c>
      <c r="L441" s="268">
        <f t="shared" si="384"/>
        <v>0</v>
      </c>
      <c r="M441" s="268">
        <f>SUM(M442:M445)</f>
        <v>0</v>
      </c>
      <c r="N441" s="268">
        <f t="shared" si="384"/>
        <v>0</v>
      </c>
      <c r="O441" s="268">
        <f t="shared" si="384"/>
        <v>0</v>
      </c>
      <c r="P441" s="268">
        <f t="shared" si="384"/>
        <v>0</v>
      </c>
      <c r="Q441" s="269">
        <f t="shared" si="384"/>
        <v>0</v>
      </c>
      <c r="R441" s="264">
        <f>SUM(R442:R445)</f>
        <v>1000</v>
      </c>
      <c r="S441" s="265">
        <f t="shared" si="376"/>
        <v>0</v>
      </c>
      <c r="T441" s="275">
        <f t="shared" si="338"/>
        <v>1000</v>
      </c>
      <c r="U441" s="267">
        <f t="shared" ref="U441:AD441" si="385">SUM(U442:U445)</f>
        <v>1000</v>
      </c>
      <c r="V441" s="268">
        <f t="shared" si="385"/>
        <v>0</v>
      </c>
      <c r="W441" s="268">
        <f t="shared" si="385"/>
        <v>0</v>
      </c>
      <c r="X441" s="268">
        <f t="shared" si="385"/>
        <v>0</v>
      </c>
      <c r="Y441" s="268">
        <f t="shared" si="385"/>
        <v>0</v>
      </c>
      <c r="Z441" s="268">
        <f t="shared" si="385"/>
        <v>0</v>
      </c>
      <c r="AA441" s="268">
        <f t="shared" si="385"/>
        <v>0</v>
      </c>
      <c r="AB441" s="268">
        <f t="shared" si="385"/>
        <v>0</v>
      </c>
      <c r="AC441" s="269">
        <f t="shared" si="385"/>
        <v>0</v>
      </c>
      <c r="AD441" s="264">
        <f t="shared" si="385"/>
        <v>809.32999999999993</v>
      </c>
      <c r="AE441" s="265">
        <f t="shared" si="350"/>
        <v>-809.32999999999993</v>
      </c>
      <c r="AF441" s="266">
        <f t="shared" si="351"/>
        <v>0</v>
      </c>
      <c r="AG441" s="267">
        <f t="shared" ref="AG441:AO441" si="386">SUM(AG442:AG445)</f>
        <v>0</v>
      </c>
      <c r="AH441" s="268">
        <f t="shared" si="386"/>
        <v>0</v>
      </c>
      <c r="AI441" s="268">
        <f t="shared" si="386"/>
        <v>0</v>
      </c>
      <c r="AJ441" s="268">
        <f t="shared" si="386"/>
        <v>0</v>
      </c>
      <c r="AK441" s="268">
        <f t="shared" si="386"/>
        <v>0</v>
      </c>
      <c r="AL441" s="268">
        <f t="shared" si="386"/>
        <v>0</v>
      </c>
      <c r="AM441" s="268">
        <f t="shared" si="386"/>
        <v>0</v>
      </c>
      <c r="AN441" s="268">
        <f t="shared" si="386"/>
        <v>0</v>
      </c>
      <c r="AO441" s="269">
        <f t="shared" si="386"/>
        <v>0</v>
      </c>
      <c r="AP441" s="276">
        <v>2000</v>
      </c>
      <c r="AQ441" s="276">
        <f>2626.43+147.72+10+46</f>
        <v>2830.1499999999996</v>
      </c>
      <c r="AR441" s="277">
        <f>AQ441*100/AP441</f>
        <v>141.50749999999996</v>
      </c>
      <c r="AS441" s="278">
        <f t="shared" si="342"/>
        <v>1</v>
      </c>
      <c r="AT441" s="279">
        <f t="shared" si="343"/>
        <v>1</v>
      </c>
      <c r="AU441" s="279">
        <f t="shared" si="344"/>
        <v>0.80932999999999988</v>
      </c>
      <c r="AV441" s="279">
        <f t="shared" si="345"/>
        <v>0</v>
      </c>
    </row>
    <row r="442" spans="1:48" outlineLevel="1" x14ac:dyDescent="0.25">
      <c r="A442" s="5" t="s">
        <v>418</v>
      </c>
      <c r="B442" s="75" t="s">
        <v>281</v>
      </c>
      <c r="C442" s="25"/>
      <c r="D442" s="92">
        <v>1</v>
      </c>
      <c r="E442" s="110">
        <v>200</v>
      </c>
      <c r="F442" s="93">
        <f>D442*E442</f>
        <v>200</v>
      </c>
      <c r="G442" s="74">
        <f t="shared" si="362"/>
        <v>0</v>
      </c>
      <c r="H442" s="95">
        <f t="shared" si="355"/>
        <v>200</v>
      </c>
      <c r="I442" s="112">
        <v>200</v>
      </c>
      <c r="J442" s="57"/>
      <c r="K442" s="57"/>
      <c r="L442" s="57"/>
      <c r="M442" s="57"/>
      <c r="N442" s="57"/>
      <c r="O442" s="57"/>
      <c r="P442" s="68"/>
      <c r="Q442" s="58"/>
      <c r="R442" s="93">
        <v>200</v>
      </c>
      <c r="S442" s="74">
        <f t="shared" si="376"/>
        <v>0</v>
      </c>
      <c r="T442" s="95">
        <f t="shared" si="338"/>
        <v>200</v>
      </c>
      <c r="U442" s="112">
        <v>200</v>
      </c>
      <c r="V442" s="57"/>
      <c r="W442" s="57"/>
      <c r="X442" s="57"/>
      <c r="Y442" s="57"/>
      <c r="Z442" s="57"/>
      <c r="AA442" s="57"/>
      <c r="AB442" s="68"/>
      <c r="AC442" s="58"/>
      <c r="AD442" s="170">
        <f>P442*Q442</f>
        <v>0</v>
      </c>
      <c r="AE442" s="89">
        <f t="shared" si="350"/>
        <v>0</v>
      </c>
      <c r="AF442" s="216">
        <f t="shared" si="351"/>
        <v>0</v>
      </c>
      <c r="AG442" s="147"/>
      <c r="AH442" s="148"/>
      <c r="AI442" s="148"/>
      <c r="AJ442" s="148"/>
      <c r="AK442" s="148"/>
      <c r="AL442" s="148"/>
      <c r="AM442" s="148"/>
      <c r="AN442" s="149"/>
      <c r="AO442" s="150"/>
      <c r="AP442" s="76"/>
      <c r="AQ442" s="76"/>
      <c r="AR442" s="128"/>
      <c r="AS442" s="108">
        <f t="shared" si="342"/>
        <v>1</v>
      </c>
      <c r="AT442" s="249">
        <f t="shared" si="343"/>
        <v>1</v>
      </c>
      <c r="AU442" s="249">
        <f t="shared" si="344"/>
        <v>0</v>
      </c>
      <c r="AV442" s="249">
        <f t="shared" si="345"/>
        <v>0</v>
      </c>
    </row>
    <row r="443" spans="1:48" outlineLevel="1" x14ac:dyDescent="0.25">
      <c r="A443" s="4" t="s">
        <v>419</v>
      </c>
      <c r="B443" s="75" t="s">
        <v>309</v>
      </c>
      <c r="C443" s="25"/>
      <c r="D443" s="92">
        <v>4</v>
      </c>
      <c r="E443" s="110">
        <v>100</v>
      </c>
      <c r="F443" s="93">
        <f>D443*E443</f>
        <v>400</v>
      </c>
      <c r="G443" s="74">
        <f t="shared" si="362"/>
        <v>0</v>
      </c>
      <c r="H443" s="95">
        <f t="shared" si="355"/>
        <v>400</v>
      </c>
      <c r="I443" s="112">
        <v>400</v>
      </c>
      <c r="J443" s="57"/>
      <c r="K443" s="57"/>
      <c r="L443" s="57"/>
      <c r="M443" s="57"/>
      <c r="N443" s="57"/>
      <c r="O443" s="57"/>
      <c r="P443" s="68"/>
      <c r="Q443" s="58"/>
      <c r="R443" s="93">
        <v>400</v>
      </c>
      <c r="S443" s="74">
        <f t="shared" si="376"/>
        <v>0</v>
      </c>
      <c r="T443" s="95">
        <f t="shared" si="338"/>
        <v>400</v>
      </c>
      <c r="U443" s="112">
        <v>400</v>
      </c>
      <c r="V443" s="57"/>
      <c r="W443" s="57"/>
      <c r="X443" s="57"/>
      <c r="Y443" s="57"/>
      <c r="Z443" s="57"/>
      <c r="AA443" s="57"/>
      <c r="AB443" s="68"/>
      <c r="AC443" s="58"/>
      <c r="AD443" s="170">
        <v>82.62</v>
      </c>
      <c r="AE443" s="89">
        <f t="shared" si="350"/>
        <v>-82.62</v>
      </c>
      <c r="AF443" s="216">
        <f t="shared" si="351"/>
        <v>0</v>
      </c>
      <c r="AG443" s="147"/>
      <c r="AH443" s="148"/>
      <c r="AI443" s="148"/>
      <c r="AJ443" s="148"/>
      <c r="AK443" s="148"/>
      <c r="AL443" s="148"/>
      <c r="AM443" s="148"/>
      <c r="AN443" s="149"/>
      <c r="AO443" s="150"/>
      <c r="AP443" s="76"/>
      <c r="AQ443" s="76"/>
      <c r="AR443" s="128"/>
      <c r="AS443" s="108">
        <f t="shared" si="342"/>
        <v>1</v>
      </c>
      <c r="AT443" s="249">
        <f t="shared" si="343"/>
        <v>1</v>
      </c>
      <c r="AU443" s="249">
        <f t="shared" si="344"/>
        <v>0.20655000000000001</v>
      </c>
      <c r="AV443" s="249">
        <f t="shared" si="345"/>
        <v>0</v>
      </c>
    </row>
    <row r="444" spans="1:48" outlineLevel="1" x14ac:dyDescent="0.25">
      <c r="A444" s="4" t="s">
        <v>420</v>
      </c>
      <c r="B444" s="75" t="s">
        <v>285</v>
      </c>
      <c r="C444" s="25"/>
      <c r="D444" s="92">
        <v>8</v>
      </c>
      <c r="E444" s="110">
        <v>50</v>
      </c>
      <c r="F444" s="93">
        <f>D444*E444</f>
        <v>400</v>
      </c>
      <c r="G444" s="74">
        <f t="shared" si="362"/>
        <v>0</v>
      </c>
      <c r="H444" s="95">
        <f t="shared" si="355"/>
        <v>400</v>
      </c>
      <c r="I444" s="112">
        <v>400</v>
      </c>
      <c r="J444" s="57"/>
      <c r="K444" s="57"/>
      <c r="L444" s="57"/>
      <c r="M444" s="57"/>
      <c r="N444" s="57"/>
      <c r="O444" s="57"/>
      <c r="P444" s="68"/>
      <c r="Q444" s="58"/>
      <c r="R444" s="93">
        <v>400</v>
      </c>
      <c r="S444" s="74">
        <f t="shared" si="376"/>
        <v>0</v>
      </c>
      <c r="T444" s="95">
        <f t="shared" si="338"/>
        <v>400</v>
      </c>
      <c r="U444" s="112">
        <v>400</v>
      </c>
      <c r="V444" s="57"/>
      <c r="W444" s="57"/>
      <c r="X444" s="57"/>
      <c r="Y444" s="57"/>
      <c r="Z444" s="57"/>
      <c r="AA444" s="57"/>
      <c r="AB444" s="68"/>
      <c r="AC444" s="58"/>
      <c r="AD444" s="170">
        <v>300.06</v>
      </c>
      <c r="AE444" s="89">
        <f t="shared" si="350"/>
        <v>-300.06</v>
      </c>
      <c r="AF444" s="216">
        <f t="shared" si="351"/>
        <v>0</v>
      </c>
      <c r="AG444" s="147"/>
      <c r="AH444" s="148"/>
      <c r="AI444" s="148"/>
      <c r="AJ444" s="148"/>
      <c r="AK444" s="148"/>
      <c r="AL444" s="148"/>
      <c r="AM444" s="148"/>
      <c r="AN444" s="149"/>
      <c r="AO444" s="150"/>
      <c r="AP444" s="76"/>
      <c r="AQ444" s="76"/>
      <c r="AR444" s="128"/>
      <c r="AS444" s="108">
        <f t="shared" si="342"/>
        <v>1</v>
      </c>
      <c r="AT444" s="249">
        <f t="shared" si="343"/>
        <v>1</v>
      </c>
      <c r="AU444" s="249">
        <f t="shared" si="344"/>
        <v>0.75014999999999998</v>
      </c>
      <c r="AV444" s="249">
        <f t="shared" si="345"/>
        <v>0</v>
      </c>
    </row>
    <row r="445" spans="1:48" outlineLevel="1" x14ac:dyDescent="0.25">
      <c r="A445" s="4" t="s">
        <v>1128</v>
      </c>
      <c r="B445" s="75" t="s">
        <v>47</v>
      </c>
      <c r="C445" s="25"/>
      <c r="D445" s="92"/>
      <c r="E445" s="110"/>
      <c r="F445" s="93">
        <f>D445*E445</f>
        <v>0</v>
      </c>
      <c r="G445" s="74">
        <f t="shared" si="362"/>
        <v>0</v>
      </c>
      <c r="H445" s="95">
        <f t="shared" si="355"/>
        <v>0</v>
      </c>
      <c r="I445" s="112"/>
      <c r="J445" s="57"/>
      <c r="K445" s="57"/>
      <c r="L445" s="57"/>
      <c r="M445" s="57"/>
      <c r="N445" s="57"/>
      <c r="O445" s="57"/>
      <c r="P445" s="68"/>
      <c r="Q445" s="58"/>
      <c r="R445" s="93">
        <f>P445*Q445</f>
        <v>0</v>
      </c>
      <c r="S445" s="74">
        <f t="shared" si="376"/>
        <v>0</v>
      </c>
      <c r="T445" s="95">
        <f t="shared" si="338"/>
        <v>0</v>
      </c>
      <c r="U445" s="112"/>
      <c r="V445" s="57"/>
      <c r="W445" s="57"/>
      <c r="X445" s="57"/>
      <c r="Y445" s="57"/>
      <c r="Z445" s="57"/>
      <c r="AA445" s="57"/>
      <c r="AB445" s="68"/>
      <c r="AC445" s="58"/>
      <c r="AD445" s="170">
        <v>426.65</v>
      </c>
      <c r="AE445" s="89">
        <f t="shared" si="350"/>
        <v>-426.65</v>
      </c>
      <c r="AF445" s="216">
        <f t="shared" si="351"/>
        <v>0</v>
      </c>
      <c r="AG445" s="147"/>
      <c r="AH445" s="148"/>
      <c r="AI445" s="148"/>
      <c r="AJ445" s="148"/>
      <c r="AK445" s="148"/>
      <c r="AL445" s="148"/>
      <c r="AM445" s="148"/>
      <c r="AN445" s="149"/>
      <c r="AO445" s="150"/>
      <c r="AP445" s="76"/>
      <c r="AQ445" s="76"/>
      <c r="AR445" s="128"/>
      <c r="AS445" s="108"/>
      <c r="AT445" s="249"/>
      <c r="AU445" s="249"/>
      <c r="AV445" s="249"/>
    </row>
    <row r="446" spans="1:48" s="280" customFormat="1" ht="15.75" x14ac:dyDescent="0.25">
      <c r="A446" s="270" t="s">
        <v>422</v>
      </c>
      <c r="B446" s="271" t="s">
        <v>248</v>
      </c>
      <c r="C446" s="272"/>
      <c r="D446" s="273"/>
      <c r="E446" s="274"/>
      <c r="F446" s="264">
        <f>SUM(F447:F449)</f>
        <v>15000</v>
      </c>
      <c r="G446" s="265">
        <f t="shared" si="362"/>
        <v>0</v>
      </c>
      <c r="H446" s="275">
        <f t="shared" si="355"/>
        <v>15000</v>
      </c>
      <c r="I446" s="267">
        <f t="shared" ref="I446:Q446" si="387">SUM(I447:I449)</f>
        <v>2500</v>
      </c>
      <c r="J446" s="268">
        <f t="shared" si="387"/>
        <v>10000</v>
      </c>
      <c r="K446" s="268">
        <f t="shared" si="387"/>
        <v>2500</v>
      </c>
      <c r="L446" s="268">
        <f t="shared" si="387"/>
        <v>0</v>
      </c>
      <c r="M446" s="268">
        <f t="shared" si="387"/>
        <v>0</v>
      </c>
      <c r="N446" s="268">
        <f t="shared" si="387"/>
        <v>0</v>
      </c>
      <c r="O446" s="268">
        <f t="shared" si="387"/>
        <v>0</v>
      </c>
      <c r="P446" s="268">
        <f t="shared" si="387"/>
        <v>0</v>
      </c>
      <c r="Q446" s="269">
        <f t="shared" si="387"/>
        <v>0</v>
      </c>
      <c r="R446" s="264">
        <f>SUM(R447:R450)</f>
        <v>12500</v>
      </c>
      <c r="S446" s="265">
        <f t="shared" si="376"/>
        <v>0</v>
      </c>
      <c r="T446" s="275">
        <f t="shared" si="338"/>
        <v>12500</v>
      </c>
      <c r="U446" s="267">
        <f>SUM(U447:U450)</f>
        <v>0</v>
      </c>
      <c r="V446" s="267">
        <f t="shared" ref="V446:AC446" si="388">SUM(V447:V450)</f>
        <v>10000</v>
      </c>
      <c r="W446" s="267">
        <f t="shared" si="388"/>
        <v>2500</v>
      </c>
      <c r="X446" s="267">
        <f t="shared" si="388"/>
        <v>0</v>
      </c>
      <c r="Y446" s="267">
        <f t="shared" si="388"/>
        <v>0</v>
      </c>
      <c r="Z446" s="267">
        <f t="shared" si="388"/>
        <v>0</v>
      </c>
      <c r="AA446" s="267">
        <f t="shared" si="388"/>
        <v>0</v>
      </c>
      <c r="AB446" s="267">
        <f t="shared" si="388"/>
        <v>0</v>
      </c>
      <c r="AC446" s="267">
        <f t="shared" si="388"/>
        <v>0</v>
      </c>
      <c r="AD446" s="264">
        <f>SUM(AD447:AD449)</f>
        <v>833.4</v>
      </c>
      <c r="AE446" s="265">
        <f t="shared" si="350"/>
        <v>-833.4</v>
      </c>
      <c r="AF446" s="266">
        <f t="shared" si="351"/>
        <v>0</v>
      </c>
      <c r="AG446" s="267">
        <f t="shared" ref="AG446:AO446" si="389">SUM(AG447:AG449)</f>
        <v>0</v>
      </c>
      <c r="AH446" s="268">
        <f t="shared" si="389"/>
        <v>0</v>
      </c>
      <c r="AI446" s="268">
        <f t="shared" si="389"/>
        <v>0</v>
      </c>
      <c r="AJ446" s="268">
        <f t="shared" si="389"/>
        <v>0</v>
      </c>
      <c r="AK446" s="268">
        <f t="shared" si="389"/>
        <v>0</v>
      </c>
      <c r="AL446" s="268">
        <f t="shared" si="389"/>
        <v>0</v>
      </c>
      <c r="AM446" s="268">
        <f t="shared" si="389"/>
        <v>0</v>
      </c>
      <c r="AN446" s="268">
        <f t="shared" si="389"/>
        <v>0</v>
      </c>
      <c r="AO446" s="269">
        <f t="shared" si="389"/>
        <v>0</v>
      </c>
      <c r="AP446" s="276">
        <v>8592</v>
      </c>
      <c r="AQ446" s="276">
        <f>2650.07+7099.04+106.2+3007.44</f>
        <v>12862.750000000002</v>
      </c>
      <c r="AR446" s="277">
        <f>AQ446*100/AP446</f>
        <v>149.70612197392927</v>
      </c>
      <c r="AS446" s="278">
        <f t="shared" si="342"/>
        <v>0.83333333333333337</v>
      </c>
      <c r="AT446" s="279">
        <f t="shared" si="343"/>
        <v>0.83333333333333337</v>
      </c>
      <c r="AU446" s="279">
        <f t="shared" si="344"/>
        <v>5.5559999999999998E-2</v>
      </c>
      <c r="AV446" s="279">
        <f t="shared" si="345"/>
        <v>0</v>
      </c>
    </row>
    <row r="447" spans="1:48" outlineLevel="1" x14ac:dyDescent="0.25">
      <c r="A447" s="4" t="s">
        <v>423</v>
      </c>
      <c r="B447" s="75" t="s">
        <v>1129</v>
      </c>
      <c r="C447" s="25"/>
      <c r="D447" s="92">
        <v>1</v>
      </c>
      <c r="E447" s="110">
        <v>12500</v>
      </c>
      <c r="F447" s="93">
        <f>D447*E447</f>
        <v>12500</v>
      </c>
      <c r="G447" s="74">
        <f t="shared" si="362"/>
        <v>0</v>
      </c>
      <c r="H447" s="95">
        <f t="shared" si="355"/>
        <v>12500</v>
      </c>
      <c r="I447" s="112"/>
      <c r="J447" s="57">
        <v>10000</v>
      </c>
      <c r="K447" s="57">
        <v>2500</v>
      </c>
      <c r="L447" s="57"/>
      <c r="M447" s="57"/>
      <c r="N447" s="57"/>
      <c r="O447" s="57"/>
      <c r="P447" s="68"/>
      <c r="Q447" s="58"/>
      <c r="R447" s="93">
        <v>12500</v>
      </c>
      <c r="S447" s="74">
        <f t="shared" si="376"/>
        <v>0</v>
      </c>
      <c r="T447" s="95">
        <f t="shared" si="338"/>
        <v>12500</v>
      </c>
      <c r="U447" s="112"/>
      <c r="V447" s="57">
        <v>10000</v>
      </c>
      <c r="W447" s="57">
        <v>2500</v>
      </c>
      <c r="X447" s="57"/>
      <c r="Y447" s="57"/>
      <c r="Z447" s="57"/>
      <c r="AA447" s="57"/>
      <c r="AB447" s="68"/>
      <c r="AC447" s="58"/>
      <c r="AD447" s="170">
        <f>P447*Q447</f>
        <v>0</v>
      </c>
      <c r="AE447" s="89">
        <f t="shared" si="350"/>
        <v>0</v>
      </c>
      <c r="AF447" s="216">
        <f t="shared" si="351"/>
        <v>0</v>
      </c>
      <c r="AG447" s="147"/>
      <c r="AH447" s="148"/>
      <c r="AI447" s="148"/>
      <c r="AJ447" s="148"/>
      <c r="AK447" s="148"/>
      <c r="AL447" s="148"/>
      <c r="AM447" s="148"/>
      <c r="AN447" s="149"/>
      <c r="AO447" s="150"/>
      <c r="AP447" s="76"/>
      <c r="AQ447" s="76"/>
      <c r="AR447" s="128"/>
      <c r="AS447" s="108">
        <f t="shared" si="342"/>
        <v>1</v>
      </c>
      <c r="AT447" s="249">
        <f t="shared" si="343"/>
        <v>1</v>
      </c>
      <c r="AU447" s="249">
        <f t="shared" si="344"/>
        <v>0</v>
      </c>
      <c r="AV447" s="249">
        <f t="shared" si="345"/>
        <v>0</v>
      </c>
    </row>
    <row r="448" spans="1:48" outlineLevel="1" x14ac:dyDescent="0.25">
      <c r="A448" s="4" t="s">
        <v>424</v>
      </c>
      <c r="B448" s="75" t="s">
        <v>1130</v>
      </c>
      <c r="C448" s="25"/>
      <c r="D448" s="92">
        <v>1</v>
      </c>
      <c r="E448" s="110">
        <v>2500</v>
      </c>
      <c r="F448" s="93">
        <f>D448*E448</f>
        <v>2500</v>
      </c>
      <c r="G448" s="74">
        <f t="shared" si="362"/>
        <v>0</v>
      </c>
      <c r="H448" s="95">
        <f t="shared" si="355"/>
        <v>2500</v>
      </c>
      <c r="I448" s="112">
        <v>2500</v>
      </c>
      <c r="J448" s="57"/>
      <c r="K448" s="57"/>
      <c r="L448" s="57"/>
      <c r="M448" s="57"/>
      <c r="N448" s="57"/>
      <c r="O448" s="57"/>
      <c r="P448" s="68"/>
      <c r="Q448" s="58"/>
      <c r="R448" s="93"/>
      <c r="S448" s="74">
        <f t="shared" si="376"/>
        <v>0</v>
      </c>
      <c r="T448" s="95">
        <f t="shared" si="338"/>
        <v>0</v>
      </c>
      <c r="U448" s="112"/>
      <c r="V448" s="57"/>
      <c r="W448" s="57"/>
      <c r="X448" s="57"/>
      <c r="Y448" s="57"/>
      <c r="Z448" s="57"/>
      <c r="AA448" s="57"/>
      <c r="AB448" s="68"/>
      <c r="AC448" s="58"/>
      <c r="AD448" s="170">
        <v>653.30999999999995</v>
      </c>
      <c r="AE448" s="89">
        <f t="shared" si="350"/>
        <v>-653.30999999999995</v>
      </c>
      <c r="AF448" s="216">
        <f t="shared" si="351"/>
        <v>0</v>
      </c>
      <c r="AG448" s="147"/>
      <c r="AH448" s="148"/>
      <c r="AI448" s="148"/>
      <c r="AJ448" s="148"/>
      <c r="AK448" s="148"/>
      <c r="AL448" s="148"/>
      <c r="AM448" s="148"/>
      <c r="AN448" s="149"/>
      <c r="AO448" s="150"/>
      <c r="AP448" s="76"/>
      <c r="AQ448" s="76"/>
      <c r="AR448" s="128"/>
      <c r="AS448" s="108">
        <f t="shared" si="342"/>
        <v>0</v>
      </c>
      <c r="AT448" s="249">
        <f t="shared" si="343"/>
        <v>0</v>
      </c>
      <c r="AU448" s="249">
        <f t="shared" si="344"/>
        <v>0.261324</v>
      </c>
      <c r="AV448" s="249">
        <f t="shared" si="345"/>
        <v>0</v>
      </c>
    </row>
    <row r="449" spans="1:48" outlineLevel="1" x14ac:dyDescent="0.25">
      <c r="A449" s="4" t="s">
        <v>425</v>
      </c>
      <c r="B449" s="75" t="s">
        <v>1131</v>
      </c>
      <c r="C449" s="25"/>
      <c r="D449" s="92"/>
      <c r="E449" s="110"/>
      <c r="F449" s="93">
        <f>D449*E449</f>
        <v>0</v>
      </c>
      <c r="G449" s="74">
        <f t="shared" si="362"/>
        <v>0</v>
      </c>
      <c r="H449" s="95">
        <f t="shared" si="355"/>
        <v>0</v>
      </c>
      <c r="I449" s="112"/>
      <c r="J449" s="57"/>
      <c r="K449" s="57"/>
      <c r="L449" s="57"/>
      <c r="M449" s="57"/>
      <c r="N449" s="57"/>
      <c r="O449" s="57"/>
      <c r="P449" s="68"/>
      <c r="Q449" s="58"/>
      <c r="R449" s="93">
        <f>P449*Q449</f>
        <v>0</v>
      </c>
      <c r="S449" s="74">
        <f t="shared" si="376"/>
        <v>0</v>
      </c>
      <c r="T449" s="95">
        <f t="shared" si="338"/>
        <v>0</v>
      </c>
      <c r="U449" s="112"/>
      <c r="V449" s="57"/>
      <c r="W449" s="57"/>
      <c r="X449" s="57"/>
      <c r="Y449" s="57"/>
      <c r="Z449" s="57"/>
      <c r="AA449" s="57"/>
      <c r="AB449" s="68"/>
      <c r="AC449" s="58"/>
      <c r="AD449" s="170">
        <v>180.09</v>
      </c>
      <c r="AE449" s="89">
        <f t="shared" si="350"/>
        <v>-180.09</v>
      </c>
      <c r="AF449" s="216">
        <f t="shared" si="351"/>
        <v>0</v>
      </c>
      <c r="AG449" s="147"/>
      <c r="AH449" s="148"/>
      <c r="AI449" s="148"/>
      <c r="AJ449" s="148"/>
      <c r="AK449" s="148"/>
      <c r="AL449" s="148"/>
      <c r="AM449" s="148"/>
      <c r="AN449" s="149"/>
      <c r="AO449" s="150"/>
      <c r="AP449" s="76"/>
      <c r="AQ449" s="76"/>
      <c r="AR449" s="128"/>
      <c r="AS449" s="108"/>
      <c r="AT449" s="249"/>
      <c r="AU449" s="249"/>
      <c r="AV449" s="249"/>
    </row>
    <row r="450" spans="1:48" outlineLevel="1" x14ac:dyDescent="0.25">
      <c r="A450" s="4" t="s">
        <v>1132</v>
      </c>
      <c r="B450" s="75" t="s">
        <v>47</v>
      </c>
      <c r="C450" s="25"/>
      <c r="D450" s="92"/>
      <c r="E450" s="110"/>
      <c r="F450" s="93"/>
      <c r="G450" s="74"/>
      <c r="H450" s="95"/>
      <c r="I450" s="112"/>
      <c r="J450" s="57"/>
      <c r="K450" s="57"/>
      <c r="L450" s="57"/>
      <c r="M450" s="57"/>
      <c r="N450" s="57"/>
      <c r="O450" s="57"/>
      <c r="P450" s="68"/>
      <c r="Q450" s="58"/>
      <c r="R450" s="93"/>
      <c r="S450" s="74"/>
      <c r="T450" s="95"/>
      <c r="U450" s="112"/>
      <c r="V450" s="57"/>
      <c r="W450" s="57"/>
      <c r="X450" s="57"/>
      <c r="Y450" s="57"/>
      <c r="Z450" s="57"/>
      <c r="AA450" s="57"/>
      <c r="AB450" s="68"/>
      <c r="AC450" s="58"/>
      <c r="AD450" s="170"/>
      <c r="AE450" s="89"/>
      <c r="AF450" s="216"/>
      <c r="AG450" s="147"/>
      <c r="AH450" s="148"/>
      <c r="AI450" s="148"/>
      <c r="AJ450" s="148"/>
      <c r="AK450" s="148"/>
      <c r="AL450" s="148"/>
      <c r="AM450" s="148"/>
      <c r="AN450" s="149"/>
      <c r="AO450" s="150"/>
      <c r="AP450" s="176"/>
      <c r="AQ450" s="176"/>
      <c r="AR450" s="177"/>
      <c r="AS450" s="108"/>
      <c r="AT450" s="249"/>
      <c r="AU450" s="249"/>
      <c r="AV450" s="249"/>
    </row>
    <row r="451" spans="1:48" s="280" customFormat="1" ht="15.75" x14ac:dyDescent="0.25">
      <c r="A451" s="270" t="s">
        <v>426</v>
      </c>
      <c r="B451" s="271" t="s">
        <v>137</v>
      </c>
      <c r="C451" s="272"/>
      <c r="D451" s="273"/>
      <c r="E451" s="274"/>
      <c r="F451" s="264">
        <f>SUM(F452:F454)</f>
        <v>63000</v>
      </c>
      <c r="G451" s="265">
        <f t="shared" si="362"/>
        <v>0</v>
      </c>
      <c r="H451" s="275">
        <f t="shared" si="355"/>
        <v>63000</v>
      </c>
      <c r="I451" s="267">
        <f t="shared" ref="I451:Q451" si="390">SUM(I452:I454)</f>
        <v>6000</v>
      </c>
      <c r="J451" s="268">
        <f t="shared" si="390"/>
        <v>5000</v>
      </c>
      <c r="K451" s="268">
        <f t="shared" si="390"/>
        <v>39500</v>
      </c>
      <c r="L451" s="268">
        <f t="shared" si="390"/>
        <v>0</v>
      </c>
      <c r="M451" s="268">
        <f t="shared" si="390"/>
        <v>0</v>
      </c>
      <c r="N451" s="268">
        <f t="shared" si="390"/>
        <v>2500</v>
      </c>
      <c r="O451" s="268">
        <f t="shared" si="390"/>
        <v>10000</v>
      </c>
      <c r="P451" s="268">
        <f t="shared" si="390"/>
        <v>0</v>
      </c>
      <c r="Q451" s="269">
        <f t="shared" si="390"/>
        <v>0</v>
      </c>
      <c r="R451" s="264">
        <f>SUM(R452:R457)</f>
        <v>63000</v>
      </c>
      <c r="S451" s="265">
        <f t="shared" si="376"/>
        <v>3000</v>
      </c>
      <c r="T451" s="275">
        <f t="shared" si="338"/>
        <v>66000</v>
      </c>
      <c r="U451" s="267">
        <f>SUM(U452:U457)</f>
        <v>6000</v>
      </c>
      <c r="V451" s="267">
        <f t="shared" ref="V451:AC451" si="391">SUM(V452:V457)</f>
        <v>5000</v>
      </c>
      <c r="W451" s="267">
        <f t="shared" si="391"/>
        <v>42500</v>
      </c>
      <c r="X451" s="267">
        <f t="shared" si="391"/>
        <v>0</v>
      </c>
      <c r="Y451" s="267">
        <f t="shared" si="391"/>
        <v>0</v>
      </c>
      <c r="Z451" s="267">
        <f t="shared" si="391"/>
        <v>2500</v>
      </c>
      <c r="AA451" s="267">
        <f t="shared" si="391"/>
        <v>10000</v>
      </c>
      <c r="AB451" s="267">
        <f t="shared" si="391"/>
        <v>0</v>
      </c>
      <c r="AC451" s="267">
        <f t="shared" si="391"/>
        <v>0</v>
      </c>
      <c r="AD451" s="264">
        <f>SUM(AD452:AD457)</f>
        <v>5950.93</v>
      </c>
      <c r="AE451" s="265">
        <f t="shared" si="350"/>
        <v>-5950.93</v>
      </c>
      <c r="AF451" s="266">
        <f t="shared" si="351"/>
        <v>0</v>
      </c>
      <c r="AG451" s="267">
        <f>SUM(AG452:AG457)</f>
        <v>0</v>
      </c>
      <c r="AH451" s="267">
        <f t="shared" ref="AH451:AO451" si="392">SUM(AH452:AH457)</f>
        <v>0</v>
      </c>
      <c r="AI451" s="267">
        <f t="shared" si="392"/>
        <v>0</v>
      </c>
      <c r="AJ451" s="267">
        <f t="shared" si="392"/>
        <v>0</v>
      </c>
      <c r="AK451" s="267">
        <f t="shared" si="392"/>
        <v>0</v>
      </c>
      <c r="AL451" s="267">
        <f t="shared" si="392"/>
        <v>0</v>
      </c>
      <c r="AM451" s="267">
        <f t="shared" si="392"/>
        <v>0</v>
      </c>
      <c r="AN451" s="267">
        <f t="shared" si="392"/>
        <v>0</v>
      </c>
      <c r="AO451" s="267">
        <f t="shared" si="392"/>
        <v>0</v>
      </c>
      <c r="AP451" s="276">
        <v>95005</v>
      </c>
      <c r="AQ451" s="276">
        <f>17223.82+2620.17+1705.59+608.92+472.15+32.4+334.64+478.84+1074.52+232.15+1403.79+6662.31+8482.95+500+12781.44+1345.5+6739.46</f>
        <v>62698.65</v>
      </c>
      <c r="AR451" s="277">
        <f>AQ451*100/AP451</f>
        <v>65.995105520762067</v>
      </c>
      <c r="AS451" s="278">
        <f t="shared" si="342"/>
        <v>1</v>
      </c>
      <c r="AT451" s="279">
        <f t="shared" si="343"/>
        <v>1.0476190476190477</v>
      </c>
      <c r="AU451" s="279">
        <f t="shared" si="344"/>
        <v>9.4459206349206348E-2</v>
      </c>
      <c r="AV451" s="279">
        <f t="shared" si="345"/>
        <v>0</v>
      </c>
    </row>
    <row r="452" spans="1:48" outlineLevel="1" x14ac:dyDescent="0.25">
      <c r="A452" s="4" t="s">
        <v>427</v>
      </c>
      <c r="B452" s="92" t="s">
        <v>141</v>
      </c>
      <c r="C452" s="244"/>
      <c r="D452" s="92">
        <v>1</v>
      </c>
      <c r="E452" s="110">
        <v>41500</v>
      </c>
      <c r="F452" s="86">
        <f>D452*E452</f>
        <v>41500</v>
      </c>
      <c r="G452" s="74">
        <f t="shared" si="362"/>
        <v>0</v>
      </c>
      <c r="H452" s="95">
        <f t="shared" si="355"/>
        <v>41500</v>
      </c>
      <c r="I452" s="112">
        <v>3000</v>
      </c>
      <c r="J452" s="57">
        <v>5000</v>
      </c>
      <c r="K452" s="57">
        <f>30000*0.95-7500</f>
        <v>21000</v>
      </c>
      <c r="L452" s="57"/>
      <c r="M452" s="57"/>
      <c r="N452" s="57">
        <v>2500</v>
      </c>
      <c r="O452" s="57">
        <v>10000</v>
      </c>
      <c r="P452" s="68"/>
      <c r="Q452" s="58"/>
      <c r="R452" s="86">
        <v>41500</v>
      </c>
      <c r="S452" s="74">
        <f t="shared" si="376"/>
        <v>3000</v>
      </c>
      <c r="T452" s="95">
        <f t="shared" ref="T452:T463" si="393">SUM(U452:AC452)</f>
        <v>44500</v>
      </c>
      <c r="U452" s="112">
        <v>3000</v>
      </c>
      <c r="V452" s="57">
        <v>5000</v>
      </c>
      <c r="W452" s="57">
        <v>24000</v>
      </c>
      <c r="X452" s="57"/>
      <c r="Y452" s="57"/>
      <c r="Z452" s="57">
        <v>2500</v>
      </c>
      <c r="AA452" s="57">
        <v>10000</v>
      </c>
      <c r="AB452" s="68"/>
      <c r="AC452" s="58"/>
      <c r="AD452" s="173">
        <v>5723.09</v>
      </c>
      <c r="AE452" s="89">
        <f t="shared" si="350"/>
        <v>-5723.09</v>
      </c>
      <c r="AF452" s="216">
        <f t="shared" si="351"/>
        <v>0</v>
      </c>
      <c r="AG452" s="147"/>
      <c r="AH452" s="148"/>
      <c r="AI452" s="148"/>
      <c r="AJ452" s="148"/>
      <c r="AK452" s="148"/>
      <c r="AL452" s="148"/>
      <c r="AM452" s="148"/>
      <c r="AN452" s="149"/>
      <c r="AO452" s="150"/>
      <c r="AP452" s="76"/>
      <c r="AQ452" s="76"/>
      <c r="AR452" s="128"/>
      <c r="AS452" s="108">
        <f t="shared" si="342"/>
        <v>1</v>
      </c>
      <c r="AT452" s="249">
        <f t="shared" si="343"/>
        <v>1.072289156626506</v>
      </c>
      <c r="AU452" s="249">
        <f t="shared" si="344"/>
        <v>0.13790578313253013</v>
      </c>
      <c r="AV452" s="249">
        <f t="shared" si="345"/>
        <v>0</v>
      </c>
    </row>
    <row r="453" spans="1:48" outlineLevel="1" x14ac:dyDescent="0.25">
      <c r="A453" s="6" t="s">
        <v>428</v>
      </c>
      <c r="B453" s="92" t="s">
        <v>140</v>
      </c>
      <c r="C453" s="244"/>
      <c r="D453" s="92">
        <v>1</v>
      </c>
      <c r="E453" s="110">
        <v>21500</v>
      </c>
      <c r="F453" s="86">
        <f>D453*E453</f>
        <v>21500</v>
      </c>
      <c r="G453" s="74">
        <f t="shared" si="362"/>
        <v>0</v>
      </c>
      <c r="H453" s="95">
        <f t="shared" si="355"/>
        <v>21500</v>
      </c>
      <c r="I453" s="112">
        <f>E26</f>
        <v>3000</v>
      </c>
      <c r="J453" s="57"/>
      <c r="K453" s="57">
        <f>30000*0.95-7500-2500</f>
        <v>18500</v>
      </c>
      <c r="L453" s="57"/>
      <c r="M453" s="57"/>
      <c r="N453" s="57"/>
      <c r="O453" s="57"/>
      <c r="P453" s="68"/>
      <c r="Q453" s="58"/>
      <c r="R453" s="86">
        <v>21500</v>
      </c>
      <c r="S453" s="74">
        <f t="shared" si="376"/>
        <v>0</v>
      </c>
      <c r="T453" s="95">
        <f t="shared" si="393"/>
        <v>21500</v>
      </c>
      <c r="U453" s="112">
        <v>3000</v>
      </c>
      <c r="V453" s="57"/>
      <c r="W453" s="57">
        <f>30000*0.95-7500-2500</f>
        <v>18500</v>
      </c>
      <c r="X453" s="57"/>
      <c r="Y453" s="57"/>
      <c r="Z453" s="57"/>
      <c r="AA453" s="57"/>
      <c r="AB453" s="68"/>
      <c r="AC453" s="58"/>
      <c r="AD453" s="173">
        <f>P453*Q453</f>
        <v>0</v>
      </c>
      <c r="AE453" s="89">
        <f t="shared" si="350"/>
        <v>0</v>
      </c>
      <c r="AF453" s="216">
        <f t="shared" si="351"/>
        <v>0</v>
      </c>
      <c r="AG453" s="147"/>
      <c r="AH453" s="148"/>
      <c r="AI453" s="148"/>
      <c r="AJ453" s="148"/>
      <c r="AK453" s="148"/>
      <c r="AL453" s="148"/>
      <c r="AM453" s="148"/>
      <c r="AN453" s="149"/>
      <c r="AO453" s="150"/>
      <c r="AP453" s="76"/>
      <c r="AQ453" s="76"/>
      <c r="AR453" s="128"/>
      <c r="AS453" s="108">
        <f t="shared" ref="AS453:AS516" si="394">+R453/F453</f>
        <v>1</v>
      </c>
      <c r="AT453" s="249">
        <f t="shared" ref="AT453:AT516" si="395">+T453/H453</f>
        <v>1</v>
      </c>
      <c r="AU453" s="249">
        <f t="shared" ref="AU453:AU516" si="396">+AD453/F453</f>
        <v>0</v>
      </c>
      <c r="AV453" s="249">
        <f t="shared" ref="AV453:AV516" si="397">+AF453/H453</f>
        <v>0</v>
      </c>
    </row>
    <row r="454" spans="1:48" outlineLevel="1" x14ac:dyDescent="0.25">
      <c r="A454" s="4" t="s">
        <v>433</v>
      </c>
      <c r="B454" s="92" t="s">
        <v>1133</v>
      </c>
      <c r="C454" s="244"/>
      <c r="D454" s="92"/>
      <c r="E454" s="110"/>
      <c r="F454" s="86">
        <f>D454*E454</f>
        <v>0</v>
      </c>
      <c r="G454" s="74">
        <f t="shared" si="362"/>
        <v>0</v>
      </c>
      <c r="H454" s="95">
        <f t="shared" si="355"/>
        <v>0</v>
      </c>
      <c r="I454" s="112"/>
      <c r="J454" s="57"/>
      <c r="K454" s="57"/>
      <c r="L454" s="57"/>
      <c r="M454" s="57"/>
      <c r="N454" s="57"/>
      <c r="O454" s="57"/>
      <c r="P454" s="68"/>
      <c r="Q454" s="58"/>
      <c r="R454" s="86">
        <v>0</v>
      </c>
      <c r="S454" s="74">
        <f t="shared" si="376"/>
        <v>0</v>
      </c>
      <c r="T454" s="95">
        <f t="shared" si="393"/>
        <v>0</v>
      </c>
      <c r="U454" s="112"/>
      <c r="V454" s="57"/>
      <c r="W454" s="57"/>
      <c r="X454" s="57"/>
      <c r="Y454" s="57"/>
      <c r="Z454" s="57"/>
      <c r="AA454" s="57"/>
      <c r="AB454" s="68"/>
      <c r="AC454" s="58"/>
      <c r="AD454" s="173">
        <v>227.84</v>
      </c>
      <c r="AE454" s="89">
        <f t="shared" si="350"/>
        <v>-227.84</v>
      </c>
      <c r="AF454" s="216">
        <f t="shared" si="351"/>
        <v>0</v>
      </c>
      <c r="AG454" s="147"/>
      <c r="AH454" s="148"/>
      <c r="AI454" s="148"/>
      <c r="AJ454" s="148"/>
      <c r="AK454" s="148"/>
      <c r="AL454" s="148"/>
      <c r="AM454" s="148"/>
      <c r="AN454" s="149"/>
      <c r="AO454" s="150"/>
      <c r="AP454" s="76"/>
      <c r="AQ454" s="76"/>
      <c r="AR454" s="128"/>
      <c r="AS454" s="108"/>
      <c r="AT454" s="249"/>
      <c r="AU454" s="249"/>
      <c r="AV454" s="249"/>
    </row>
    <row r="455" spans="1:48" outlineLevel="1" x14ac:dyDescent="0.25">
      <c r="A455" s="4" t="s">
        <v>1134</v>
      </c>
      <c r="B455" s="92" t="s">
        <v>1135</v>
      </c>
      <c r="C455" s="244"/>
      <c r="D455" s="92"/>
      <c r="E455" s="110"/>
      <c r="F455" s="86"/>
      <c r="G455" s="74"/>
      <c r="H455" s="95"/>
      <c r="I455" s="112"/>
      <c r="J455" s="57"/>
      <c r="K455" s="57"/>
      <c r="L455" s="57"/>
      <c r="M455" s="57"/>
      <c r="N455" s="57"/>
      <c r="O455" s="57"/>
      <c r="P455" s="68"/>
      <c r="Q455" s="58"/>
      <c r="R455" s="86"/>
      <c r="S455" s="74">
        <f t="shared" si="376"/>
        <v>0</v>
      </c>
      <c r="T455" s="95">
        <f t="shared" si="393"/>
        <v>0</v>
      </c>
      <c r="U455" s="112"/>
      <c r="V455" s="112"/>
      <c r="W455" s="112"/>
      <c r="X455" s="112"/>
      <c r="Y455" s="112"/>
      <c r="Z455" s="112"/>
      <c r="AA455" s="112"/>
      <c r="AB455" s="221"/>
      <c r="AC455" s="221"/>
      <c r="AD455" s="173"/>
      <c r="AE455" s="89">
        <f t="shared" si="350"/>
        <v>0</v>
      </c>
      <c r="AF455" s="216">
        <f t="shared" si="351"/>
        <v>0</v>
      </c>
      <c r="AG455" s="147"/>
      <c r="AH455" s="147"/>
      <c r="AI455" s="147"/>
      <c r="AJ455" s="147"/>
      <c r="AK455" s="147"/>
      <c r="AL455" s="147"/>
      <c r="AM455" s="147"/>
      <c r="AN455" s="222"/>
      <c r="AO455" s="222"/>
      <c r="AP455" s="176"/>
      <c r="AQ455" s="176"/>
      <c r="AR455" s="177"/>
      <c r="AS455" s="108"/>
      <c r="AT455" s="249"/>
      <c r="AU455" s="249"/>
      <c r="AV455" s="249"/>
    </row>
    <row r="456" spans="1:48" outlineLevel="1" x14ac:dyDescent="0.25">
      <c r="A456" s="4" t="s">
        <v>1136</v>
      </c>
      <c r="B456" s="92" t="s">
        <v>1137</v>
      </c>
      <c r="C456" s="244"/>
      <c r="D456" s="92"/>
      <c r="E456" s="110"/>
      <c r="F456" s="86"/>
      <c r="G456" s="74"/>
      <c r="H456" s="95"/>
      <c r="I456" s="112"/>
      <c r="J456" s="57"/>
      <c r="K456" s="57"/>
      <c r="L456" s="57"/>
      <c r="M456" s="57"/>
      <c r="N456" s="57"/>
      <c r="O456" s="57"/>
      <c r="P456" s="68"/>
      <c r="Q456" s="58"/>
      <c r="R456" s="86"/>
      <c r="S456" s="74">
        <f t="shared" si="376"/>
        <v>0</v>
      </c>
      <c r="T456" s="95">
        <f t="shared" si="393"/>
        <v>0</v>
      </c>
      <c r="U456" s="112"/>
      <c r="V456" s="112"/>
      <c r="W456" s="112"/>
      <c r="X456" s="112"/>
      <c r="Y456" s="112"/>
      <c r="Z456" s="112"/>
      <c r="AA456" s="112"/>
      <c r="AB456" s="221"/>
      <c r="AC456" s="221"/>
      <c r="AD456" s="173"/>
      <c r="AE456" s="89">
        <f t="shared" si="350"/>
        <v>0</v>
      </c>
      <c r="AF456" s="216">
        <f t="shared" si="351"/>
        <v>0</v>
      </c>
      <c r="AG456" s="147"/>
      <c r="AH456" s="147"/>
      <c r="AI456" s="147"/>
      <c r="AJ456" s="147"/>
      <c r="AK456" s="147"/>
      <c r="AL456" s="147"/>
      <c r="AM456" s="147"/>
      <c r="AN456" s="222"/>
      <c r="AO456" s="222"/>
      <c r="AP456" s="176"/>
      <c r="AQ456" s="176"/>
      <c r="AR456" s="177"/>
      <c r="AS456" s="108"/>
      <c r="AT456" s="249"/>
      <c r="AU456" s="249"/>
      <c r="AV456" s="249"/>
    </row>
    <row r="457" spans="1:48" outlineLevel="1" x14ac:dyDescent="0.25">
      <c r="A457" s="4" t="s">
        <v>1138</v>
      </c>
      <c r="B457" s="92" t="s">
        <v>47</v>
      </c>
      <c r="C457" s="244"/>
      <c r="D457" s="92"/>
      <c r="E457" s="110"/>
      <c r="F457" s="86"/>
      <c r="G457" s="74"/>
      <c r="H457" s="95"/>
      <c r="I457" s="112"/>
      <c r="J457" s="57"/>
      <c r="K457" s="57"/>
      <c r="L457" s="57"/>
      <c r="M457" s="57"/>
      <c r="N457" s="57"/>
      <c r="O457" s="57"/>
      <c r="P457" s="68"/>
      <c r="Q457" s="58"/>
      <c r="R457" s="86"/>
      <c r="S457" s="74">
        <f t="shared" si="376"/>
        <v>0</v>
      </c>
      <c r="T457" s="95">
        <f t="shared" si="393"/>
        <v>0</v>
      </c>
      <c r="U457" s="112"/>
      <c r="V457" s="112"/>
      <c r="W457" s="112"/>
      <c r="X457" s="112"/>
      <c r="Y457" s="112"/>
      <c r="Z457" s="112"/>
      <c r="AA457" s="112"/>
      <c r="AB457" s="221"/>
      <c r="AC457" s="221"/>
      <c r="AD457" s="173"/>
      <c r="AE457" s="89">
        <f t="shared" si="350"/>
        <v>0</v>
      </c>
      <c r="AF457" s="216">
        <f t="shared" si="351"/>
        <v>0</v>
      </c>
      <c r="AG457" s="147"/>
      <c r="AH457" s="147"/>
      <c r="AI457" s="147"/>
      <c r="AJ457" s="147"/>
      <c r="AK457" s="147"/>
      <c r="AL457" s="147"/>
      <c r="AM457" s="147"/>
      <c r="AN457" s="222"/>
      <c r="AO457" s="222"/>
      <c r="AP457" s="176"/>
      <c r="AQ457" s="176"/>
      <c r="AR457" s="177"/>
      <c r="AS457" s="108"/>
      <c r="AT457" s="249"/>
      <c r="AU457" s="249"/>
      <c r="AV457" s="249"/>
    </row>
    <row r="458" spans="1:48" s="280" customFormat="1" ht="15.75" x14ac:dyDescent="0.25">
      <c r="A458" s="270" t="s">
        <v>429</v>
      </c>
      <c r="B458" s="271" t="s">
        <v>250</v>
      </c>
      <c r="C458" s="272"/>
      <c r="D458" s="273"/>
      <c r="E458" s="274"/>
      <c r="F458" s="264">
        <f>SUM(F459:F461)</f>
        <v>7230</v>
      </c>
      <c r="G458" s="265">
        <f t="shared" si="362"/>
        <v>0</v>
      </c>
      <c r="H458" s="275">
        <f t="shared" si="355"/>
        <v>7230</v>
      </c>
      <c r="I458" s="267">
        <f t="shared" ref="I458:Q458" si="398">SUM(I459:I461)</f>
        <v>1770</v>
      </c>
      <c r="J458" s="268">
        <f t="shared" si="398"/>
        <v>0</v>
      </c>
      <c r="K458" s="268">
        <f t="shared" si="398"/>
        <v>3230</v>
      </c>
      <c r="L458" s="268">
        <f t="shared" si="398"/>
        <v>0</v>
      </c>
      <c r="M458" s="268">
        <f t="shared" si="398"/>
        <v>0</v>
      </c>
      <c r="N458" s="268">
        <f t="shared" si="398"/>
        <v>2230</v>
      </c>
      <c r="O458" s="268">
        <f t="shared" si="398"/>
        <v>0</v>
      </c>
      <c r="P458" s="268">
        <f t="shared" si="398"/>
        <v>0</v>
      </c>
      <c r="Q458" s="269">
        <f t="shared" si="398"/>
        <v>0</v>
      </c>
      <c r="R458" s="264">
        <f>SUM(R459:R463)</f>
        <v>9730</v>
      </c>
      <c r="S458" s="265">
        <f t="shared" si="376"/>
        <v>70</v>
      </c>
      <c r="T458" s="275">
        <f t="shared" si="393"/>
        <v>9800</v>
      </c>
      <c r="U458" s="267">
        <f>SUM(U459:U463)</f>
        <v>4270</v>
      </c>
      <c r="V458" s="267">
        <f t="shared" ref="V458:AC458" si="399">SUM(V459:V463)</f>
        <v>0</v>
      </c>
      <c r="W458" s="267">
        <f t="shared" si="399"/>
        <v>3300</v>
      </c>
      <c r="X458" s="267">
        <f t="shared" si="399"/>
        <v>0</v>
      </c>
      <c r="Y458" s="267">
        <f t="shared" si="399"/>
        <v>0</v>
      </c>
      <c r="Z458" s="267">
        <f t="shared" si="399"/>
        <v>2230</v>
      </c>
      <c r="AA458" s="267">
        <f t="shared" si="399"/>
        <v>0</v>
      </c>
      <c r="AB458" s="267">
        <f t="shared" si="399"/>
        <v>0</v>
      </c>
      <c r="AC458" s="267">
        <f t="shared" si="399"/>
        <v>0</v>
      </c>
      <c r="AD458" s="264">
        <f>SUM(AD459:AD463)</f>
        <v>1744.84</v>
      </c>
      <c r="AE458" s="265">
        <f t="shared" si="350"/>
        <v>-1744.84</v>
      </c>
      <c r="AF458" s="266">
        <f t="shared" si="351"/>
        <v>0</v>
      </c>
      <c r="AG458" s="267">
        <f>SUM(AG459:AG463)</f>
        <v>0</v>
      </c>
      <c r="AH458" s="267">
        <f t="shared" ref="AH458:AO458" si="400">SUM(AH459:AH463)</f>
        <v>0</v>
      </c>
      <c r="AI458" s="267">
        <f t="shared" si="400"/>
        <v>0</v>
      </c>
      <c r="AJ458" s="267">
        <f t="shared" si="400"/>
        <v>0</v>
      </c>
      <c r="AK458" s="267">
        <f t="shared" si="400"/>
        <v>0</v>
      </c>
      <c r="AL458" s="267">
        <f t="shared" si="400"/>
        <v>0</v>
      </c>
      <c r="AM458" s="267">
        <f t="shared" si="400"/>
        <v>0</v>
      </c>
      <c r="AN458" s="267">
        <f t="shared" si="400"/>
        <v>0</v>
      </c>
      <c r="AO458" s="267">
        <f t="shared" si="400"/>
        <v>0</v>
      </c>
      <c r="AP458" s="276">
        <v>8000</v>
      </c>
      <c r="AQ458" s="276">
        <f>5138.59-2830.15+2122.29+1530.31+760.94</f>
        <v>6721.98</v>
      </c>
      <c r="AR458" s="277">
        <f>AQ458*100/AP458</f>
        <v>84.024749999999997</v>
      </c>
      <c r="AS458" s="278">
        <f t="shared" si="394"/>
        <v>1.3457814661134164</v>
      </c>
      <c r="AT458" s="279">
        <f t="shared" si="395"/>
        <v>1.355463347164592</v>
      </c>
      <c r="AU458" s="279">
        <f t="shared" si="396"/>
        <v>0.24133333333333332</v>
      </c>
      <c r="AV458" s="279">
        <f t="shared" si="397"/>
        <v>0</v>
      </c>
    </row>
    <row r="459" spans="1:48" outlineLevel="1" x14ac:dyDescent="0.25">
      <c r="A459" s="4" t="s">
        <v>430</v>
      </c>
      <c r="B459" s="75" t="s">
        <v>893</v>
      </c>
      <c r="C459" s="25"/>
      <c r="D459" s="92">
        <v>1</v>
      </c>
      <c r="E459" s="110">
        <v>2230</v>
      </c>
      <c r="F459" s="93">
        <f>D459*E459</f>
        <v>2230</v>
      </c>
      <c r="G459" s="74">
        <f t="shared" si="362"/>
        <v>0</v>
      </c>
      <c r="H459" s="95">
        <f t="shared" si="355"/>
        <v>2230</v>
      </c>
      <c r="I459" s="112"/>
      <c r="J459" s="57"/>
      <c r="K459" s="57"/>
      <c r="L459" s="57"/>
      <c r="M459" s="57"/>
      <c r="N459" s="57">
        <v>2230</v>
      </c>
      <c r="O459" s="57"/>
      <c r="P459" s="68"/>
      <c r="Q459" s="58"/>
      <c r="R459" s="93">
        <v>2230</v>
      </c>
      <c r="S459" s="74">
        <f t="shared" si="376"/>
        <v>0</v>
      </c>
      <c r="T459" s="95">
        <f t="shared" si="393"/>
        <v>2230</v>
      </c>
      <c r="U459" s="112"/>
      <c r="V459" s="57"/>
      <c r="W459" s="57"/>
      <c r="X459" s="57"/>
      <c r="Y459" s="57"/>
      <c r="Z459" s="57">
        <v>2230</v>
      </c>
      <c r="AA459" s="57"/>
      <c r="AB459" s="68"/>
      <c r="AC459" s="58"/>
      <c r="AD459" s="170">
        <v>20.72</v>
      </c>
      <c r="AE459" s="89">
        <f t="shared" si="350"/>
        <v>-20.72</v>
      </c>
      <c r="AF459" s="216">
        <f t="shared" si="351"/>
        <v>0</v>
      </c>
      <c r="AG459" s="147"/>
      <c r="AH459" s="148"/>
      <c r="AI459" s="148"/>
      <c r="AJ459" s="148"/>
      <c r="AK459" s="148"/>
      <c r="AL459" s="148"/>
      <c r="AM459" s="148"/>
      <c r="AN459" s="149"/>
      <c r="AO459" s="150"/>
      <c r="AP459" s="76"/>
      <c r="AQ459" s="76"/>
      <c r="AR459" s="128"/>
      <c r="AS459" s="108">
        <f t="shared" si="394"/>
        <v>1</v>
      </c>
      <c r="AT459" s="249">
        <f t="shared" si="395"/>
        <v>1</v>
      </c>
      <c r="AU459" s="249">
        <f t="shared" si="396"/>
        <v>9.2914798206278019E-3</v>
      </c>
      <c r="AV459" s="249">
        <f t="shared" si="397"/>
        <v>0</v>
      </c>
    </row>
    <row r="460" spans="1:48" outlineLevel="1" x14ac:dyDescent="0.25">
      <c r="A460" s="4" t="s">
        <v>431</v>
      </c>
      <c r="B460" s="75" t="s">
        <v>142</v>
      </c>
      <c r="C460" s="25"/>
      <c r="D460" s="92">
        <v>1</v>
      </c>
      <c r="E460" s="110">
        <v>5000</v>
      </c>
      <c r="F460" s="93">
        <f>D460*E460</f>
        <v>5000</v>
      </c>
      <c r="G460" s="74">
        <f t="shared" si="362"/>
        <v>0</v>
      </c>
      <c r="H460" s="95">
        <f t="shared" si="355"/>
        <v>5000</v>
      </c>
      <c r="I460" s="112">
        <v>1770</v>
      </c>
      <c r="J460" s="57"/>
      <c r="K460" s="57">
        <f>3400*0.95</f>
        <v>3230</v>
      </c>
      <c r="L460" s="57"/>
      <c r="M460" s="57"/>
      <c r="N460" s="57"/>
      <c r="O460" s="57"/>
      <c r="P460" s="68"/>
      <c r="Q460" s="58"/>
      <c r="R460" s="93">
        <v>5000</v>
      </c>
      <c r="S460" s="74">
        <f t="shared" si="376"/>
        <v>70</v>
      </c>
      <c r="T460" s="95">
        <f t="shared" si="393"/>
        <v>5070</v>
      </c>
      <c r="U460" s="112">
        <v>1770</v>
      </c>
      <c r="V460" s="57"/>
      <c r="W460" s="57">
        <v>3300</v>
      </c>
      <c r="X460" s="57"/>
      <c r="Y460" s="57"/>
      <c r="Z460" s="57"/>
      <c r="AA460" s="57"/>
      <c r="AB460" s="68"/>
      <c r="AC460" s="58"/>
      <c r="AD460" s="170">
        <f>P460*Q460</f>
        <v>0</v>
      </c>
      <c r="AE460" s="89">
        <f t="shared" si="350"/>
        <v>0</v>
      </c>
      <c r="AF460" s="216">
        <f t="shared" si="351"/>
        <v>0</v>
      </c>
      <c r="AG460" s="147"/>
      <c r="AH460" s="148"/>
      <c r="AI460" s="148"/>
      <c r="AJ460" s="148"/>
      <c r="AK460" s="148"/>
      <c r="AL460" s="148"/>
      <c r="AM460" s="148"/>
      <c r="AN460" s="149"/>
      <c r="AO460" s="150"/>
      <c r="AP460" s="76"/>
      <c r="AQ460" s="76"/>
      <c r="AR460" s="128"/>
      <c r="AS460" s="108">
        <f t="shared" si="394"/>
        <v>1</v>
      </c>
      <c r="AT460" s="249">
        <f t="shared" si="395"/>
        <v>1.014</v>
      </c>
      <c r="AU460" s="249">
        <f t="shared" si="396"/>
        <v>0</v>
      </c>
      <c r="AV460" s="249">
        <f t="shared" si="397"/>
        <v>0</v>
      </c>
    </row>
    <row r="461" spans="1:48" outlineLevel="1" x14ac:dyDescent="0.25">
      <c r="A461" s="4" t="s">
        <v>432</v>
      </c>
      <c r="B461" s="75" t="s">
        <v>1012</v>
      </c>
      <c r="C461" s="25"/>
      <c r="D461" s="92"/>
      <c r="E461" s="110"/>
      <c r="F461" s="93">
        <f>D461*E461</f>
        <v>0</v>
      </c>
      <c r="G461" s="74">
        <f t="shared" si="362"/>
        <v>0</v>
      </c>
      <c r="H461" s="95">
        <f t="shared" si="355"/>
        <v>0</v>
      </c>
      <c r="I461" s="112"/>
      <c r="J461" s="57"/>
      <c r="K461" s="57"/>
      <c r="L461" s="57"/>
      <c r="M461" s="57"/>
      <c r="N461" s="57"/>
      <c r="O461" s="57"/>
      <c r="P461" s="68"/>
      <c r="Q461" s="58"/>
      <c r="R461" s="93">
        <f>P461*Q461</f>
        <v>0</v>
      </c>
      <c r="S461" s="74">
        <f t="shared" si="376"/>
        <v>0</v>
      </c>
      <c r="T461" s="95">
        <f t="shared" si="393"/>
        <v>0</v>
      </c>
      <c r="U461" s="112"/>
      <c r="V461" s="57"/>
      <c r="W461" s="57"/>
      <c r="X461" s="57"/>
      <c r="Y461" s="57"/>
      <c r="Z461" s="57"/>
      <c r="AA461" s="57"/>
      <c r="AB461" s="68"/>
      <c r="AC461" s="58"/>
      <c r="AD461" s="170">
        <v>613.9</v>
      </c>
      <c r="AE461" s="89">
        <f t="shared" si="350"/>
        <v>-613.9</v>
      </c>
      <c r="AF461" s="216">
        <f t="shared" si="351"/>
        <v>0</v>
      </c>
      <c r="AG461" s="147"/>
      <c r="AH461" s="148"/>
      <c r="AI461" s="148"/>
      <c r="AJ461" s="148"/>
      <c r="AK461" s="148"/>
      <c r="AL461" s="148"/>
      <c r="AM461" s="148"/>
      <c r="AN461" s="149"/>
      <c r="AO461" s="150"/>
      <c r="AP461" s="76"/>
      <c r="AQ461" s="76"/>
      <c r="AR461" s="128"/>
      <c r="AS461" s="108"/>
      <c r="AT461" s="249"/>
      <c r="AU461" s="249"/>
      <c r="AV461" s="249"/>
    </row>
    <row r="462" spans="1:48" outlineLevel="1" x14ac:dyDescent="0.25">
      <c r="A462" s="4" t="s">
        <v>1010</v>
      </c>
      <c r="B462" s="75" t="s">
        <v>837</v>
      </c>
      <c r="C462" s="25"/>
      <c r="D462" s="92"/>
      <c r="E462" s="110"/>
      <c r="F462" s="93"/>
      <c r="G462" s="94"/>
      <c r="H462" s="95"/>
      <c r="I462" s="112"/>
      <c r="J462" s="57"/>
      <c r="K462" s="57"/>
      <c r="L462" s="57"/>
      <c r="M462" s="57"/>
      <c r="N462" s="57"/>
      <c r="O462" s="57"/>
      <c r="P462" s="68"/>
      <c r="Q462" s="58"/>
      <c r="R462" s="93">
        <v>2500</v>
      </c>
      <c r="S462" s="74">
        <f t="shared" si="376"/>
        <v>0</v>
      </c>
      <c r="T462" s="95">
        <f t="shared" si="393"/>
        <v>2500</v>
      </c>
      <c r="U462" s="112">
        <v>2500</v>
      </c>
      <c r="V462" s="57"/>
      <c r="W462" s="57"/>
      <c r="X462" s="57"/>
      <c r="Y462" s="57"/>
      <c r="Z462" s="57"/>
      <c r="AA462" s="57"/>
      <c r="AB462" s="68"/>
      <c r="AC462" s="58"/>
      <c r="AD462" s="93">
        <v>1002.56</v>
      </c>
      <c r="AE462" s="89">
        <f t="shared" si="350"/>
        <v>-1002.56</v>
      </c>
      <c r="AF462" s="237">
        <f t="shared" si="351"/>
        <v>0</v>
      </c>
      <c r="AG462" s="112"/>
      <c r="AH462" s="57"/>
      <c r="AI462" s="57"/>
      <c r="AJ462" s="57"/>
      <c r="AK462" s="57"/>
      <c r="AL462" s="57"/>
      <c r="AM462" s="57"/>
      <c r="AN462" s="68"/>
      <c r="AO462" s="58"/>
      <c r="AP462" s="176"/>
      <c r="AQ462" s="176"/>
      <c r="AR462" s="177"/>
      <c r="AS462" s="108"/>
      <c r="AT462" s="249"/>
      <c r="AU462" s="249"/>
      <c r="AV462" s="249"/>
    </row>
    <row r="463" spans="1:48" outlineLevel="1" x14ac:dyDescent="0.25">
      <c r="A463" s="4" t="s">
        <v>1011</v>
      </c>
      <c r="B463" s="75" t="s">
        <v>47</v>
      </c>
      <c r="C463" s="25"/>
      <c r="D463" s="92"/>
      <c r="E463" s="110"/>
      <c r="F463" s="93"/>
      <c r="G463" s="94"/>
      <c r="H463" s="95"/>
      <c r="I463" s="112"/>
      <c r="J463" s="57"/>
      <c r="K463" s="57"/>
      <c r="L463" s="57"/>
      <c r="M463" s="57"/>
      <c r="N463" s="57"/>
      <c r="O463" s="57"/>
      <c r="P463" s="68"/>
      <c r="Q463" s="58"/>
      <c r="R463" s="93">
        <v>0</v>
      </c>
      <c r="S463" s="74">
        <f t="shared" si="376"/>
        <v>0</v>
      </c>
      <c r="T463" s="95">
        <f t="shared" si="393"/>
        <v>0</v>
      </c>
      <c r="U463" s="112">
        <v>0</v>
      </c>
      <c r="V463" s="57"/>
      <c r="W463" s="57"/>
      <c r="X463" s="57"/>
      <c r="Y463" s="57"/>
      <c r="Z463" s="57"/>
      <c r="AA463" s="57"/>
      <c r="AB463" s="68"/>
      <c r="AC463" s="58"/>
      <c r="AD463" s="93">
        <v>107.66</v>
      </c>
      <c r="AE463" s="89">
        <f t="shared" si="350"/>
        <v>-107.66</v>
      </c>
      <c r="AF463" s="237">
        <f t="shared" si="351"/>
        <v>0</v>
      </c>
      <c r="AG463" s="112"/>
      <c r="AH463" s="57"/>
      <c r="AI463" s="57"/>
      <c r="AJ463" s="57"/>
      <c r="AK463" s="57"/>
      <c r="AL463" s="57"/>
      <c r="AM463" s="57"/>
      <c r="AN463" s="68"/>
      <c r="AO463" s="58"/>
      <c r="AP463" s="176"/>
      <c r="AQ463" s="176"/>
      <c r="AR463" s="177"/>
      <c r="AS463" s="108"/>
      <c r="AT463" s="249"/>
      <c r="AU463" s="249"/>
      <c r="AV463" s="249"/>
    </row>
    <row r="464" spans="1:48" s="280" customFormat="1" ht="15.75" x14ac:dyDescent="0.25">
      <c r="A464" s="270" t="s">
        <v>434</v>
      </c>
      <c r="B464" s="271" t="s">
        <v>495</v>
      </c>
      <c r="C464" s="272"/>
      <c r="D464" s="273"/>
      <c r="E464" s="274"/>
      <c r="F464" s="264">
        <f>SUM(F465:F465)</f>
        <v>20000</v>
      </c>
      <c r="G464" s="265">
        <f t="shared" si="362"/>
        <v>0</v>
      </c>
      <c r="H464" s="275">
        <f t="shared" si="355"/>
        <v>20000</v>
      </c>
      <c r="I464" s="267">
        <f t="shared" ref="I464:AO464" si="401">SUM(I465:I465)</f>
        <v>0</v>
      </c>
      <c r="J464" s="268">
        <f t="shared" si="401"/>
        <v>2000</v>
      </c>
      <c r="K464" s="268">
        <f t="shared" si="401"/>
        <v>15000</v>
      </c>
      <c r="L464" s="268">
        <f t="shared" si="401"/>
        <v>0</v>
      </c>
      <c r="M464" s="268">
        <f t="shared" si="401"/>
        <v>0</v>
      </c>
      <c r="N464" s="268">
        <f t="shared" si="401"/>
        <v>3000</v>
      </c>
      <c r="O464" s="268">
        <f t="shared" si="401"/>
        <v>0</v>
      </c>
      <c r="P464" s="268">
        <f t="shared" si="401"/>
        <v>0</v>
      </c>
      <c r="Q464" s="269">
        <f t="shared" si="401"/>
        <v>0</v>
      </c>
      <c r="R464" s="264">
        <f>SUM(R465:R465)</f>
        <v>20000</v>
      </c>
      <c r="S464" s="265">
        <f t="shared" ref="S464:S509" si="402">T464-R464</f>
        <v>0</v>
      </c>
      <c r="T464" s="275">
        <f t="shared" ref="T464:T531" si="403">SUM(U464:AC464)</f>
        <v>20000</v>
      </c>
      <c r="U464" s="267">
        <f t="shared" si="401"/>
        <v>0</v>
      </c>
      <c r="V464" s="268">
        <f t="shared" si="401"/>
        <v>2000</v>
      </c>
      <c r="W464" s="268">
        <f t="shared" si="401"/>
        <v>15000</v>
      </c>
      <c r="X464" s="268">
        <f t="shared" si="401"/>
        <v>0</v>
      </c>
      <c r="Y464" s="268">
        <f t="shared" si="401"/>
        <v>0</v>
      </c>
      <c r="Z464" s="268">
        <f t="shared" si="401"/>
        <v>3000</v>
      </c>
      <c r="AA464" s="268">
        <f t="shared" si="401"/>
        <v>0</v>
      </c>
      <c r="AB464" s="268">
        <f t="shared" si="401"/>
        <v>0</v>
      </c>
      <c r="AC464" s="269">
        <f t="shared" si="401"/>
        <v>0</v>
      </c>
      <c r="AD464" s="264">
        <f>SUM(AD465:AD465)</f>
        <v>0</v>
      </c>
      <c r="AE464" s="265">
        <f t="shared" ref="AE464:AE529" si="404">AF464-AD464</f>
        <v>0</v>
      </c>
      <c r="AF464" s="266">
        <f t="shared" ref="AF464:AF529" si="405">+AG464+AH464+AI464+AJ464+AK464+AL464+AM464+AN464+AO464</f>
        <v>0</v>
      </c>
      <c r="AG464" s="267">
        <f t="shared" si="401"/>
        <v>0</v>
      </c>
      <c r="AH464" s="268">
        <f t="shared" si="401"/>
        <v>0</v>
      </c>
      <c r="AI464" s="268">
        <f t="shared" si="401"/>
        <v>0</v>
      </c>
      <c r="AJ464" s="268">
        <f t="shared" si="401"/>
        <v>0</v>
      </c>
      <c r="AK464" s="268">
        <f t="shared" si="401"/>
        <v>0</v>
      </c>
      <c r="AL464" s="268">
        <f t="shared" si="401"/>
        <v>0</v>
      </c>
      <c r="AM464" s="268">
        <f t="shared" si="401"/>
        <v>0</v>
      </c>
      <c r="AN464" s="268">
        <f t="shared" si="401"/>
        <v>0</v>
      </c>
      <c r="AO464" s="269">
        <f t="shared" si="401"/>
        <v>0</v>
      </c>
      <c r="AP464" s="276">
        <v>20000</v>
      </c>
      <c r="AQ464" s="276">
        <v>20000</v>
      </c>
      <c r="AR464" s="277">
        <f>AQ464*100/AP464</f>
        <v>100</v>
      </c>
      <c r="AS464" s="278">
        <f t="shared" si="394"/>
        <v>1</v>
      </c>
      <c r="AT464" s="279">
        <f t="shared" si="395"/>
        <v>1</v>
      </c>
      <c r="AU464" s="279">
        <f t="shared" si="396"/>
        <v>0</v>
      </c>
      <c r="AV464" s="279">
        <f t="shared" si="397"/>
        <v>0</v>
      </c>
    </row>
    <row r="465" spans="1:48" outlineLevel="1" x14ac:dyDescent="0.25">
      <c r="A465" s="4" t="s">
        <v>435</v>
      </c>
      <c r="B465" s="75" t="s">
        <v>495</v>
      </c>
      <c r="C465" s="25"/>
      <c r="D465" s="92">
        <v>1</v>
      </c>
      <c r="E465" s="110">
        <v>20000</v>
      </c>
      <c r="F465" s="93">
        <f>D465*E465</f>
        <v>20000</v>
      </c>
      <c r="G465" s="74">
        <f t="shared" si="362"/>
        <v>0</v>
      </c>
      <c r="H465" s="95">
        <f t="shared" si="355"/>
        <v>20000</v>
      </c>
      <c r="I465" s="112"/>
      <c r="J465" s="57">
        <v>2000</v>
      </c>
      <c r="K465" s="57">
        <v>15000</v>
      </c>
      <c r="L465" s="57"/>
      <c r="M465" s="57"/>
      <c r="N465" s="57">
        <v>3000</v>
      </c>
      <c r="O465" s="57"/>
      <c r="P465" s="68"/>
      <c r="Q465" s="58"/>
      <c r="R465" s="93">
        <v>20000</v>
      </c>
      <c r="S465" s="74">
        <f t="shared" si="402"/>
        <v>0</v>
      </c>
      <c r="T465" s="95">
        <f t="shared" si="403"/>
        <v>20000</v>
      </c>
      <c r="U465" s="112"/>
      <c r="V465" s="57">
        <v>2000</v>
      </c>
      <c r="W465" s="57">
        <v>15000</v>
      </c>
      <c r="X465" s="57"/>
      <c r="Y465" s="57"/>
      <c r="Z465" s="57">
        <v>3000</v>
      </c>
      <c r="AA465" s="57"/>
      <c r="AB465" s="68"/>
      <c r="AC465" s="58"/>
      <c r="AD465" s="170">
        <f>P465*Q465</f>
        <v>0</v>
      </c>
      <c r="AE465" s="89">
        <f t="shared" si="404"/>
        <v>0</v>
      </c>
      <c r="AF465" s="216">
        <f t="shared" si="405"/>
        <v>0</v>
      </c>
      <c r="AG465" s="147"/>
      <c r="AH465" s="148"/>
      <c r="AI465" s="148"/>
      <c r="AJ465" s="148"/>
      <c r="AK465" s="148"/>
      <c r="AL465" s="148"/>
      <c r="AM465" s="148"/>
      <c r="AN465" s="149"/>
      <c r="AO465" s="150"/>
      <c r="AP465" s="76"/>
      <c r="AQ465" s="76"/>
      <c r="AR465" s="128"/>
      <c r="AS465" s="108">
        <f t="shared" si="394"/>
        <v>1</v>
      </c>
      <c r="AT465" s="249">
        <f t="shared" si="395"/>
        <v>1</v>
      </c>
      <c r="AU465" s="249">
        <f t="shared" si="396"/>
        <v>0</v>
      </c>
      <c r="AV465" s="249">
        <f t="shared" si="397"/>
        <v>0</v>
      </c>
    </row>
    <row r="466" spans="1:48" s="2" customFormat="1" ht="21" x14ac:dyDescent="0.35">
      <c r="A466" s="8" t="s">
        <v>436</v>
      </c>
      <c r="B466" s="12" t="s">
        <v>416</v>
      </c>
      <c r="C466" s="21"/>
      <c r="D466" s="22"/>
      <c r="E466" s="15"/>
      <c r="F466" s="84">
        <f>F467+F472+F476+F479+F482+F488+F492</f>
        <v>273497</v>
      </c>
      <c r="G466" s="89">
        <f t="shared" si="362"/>
        <v>7335.5275000000256</v>
      </c>
      <c r="H466" s="16">
        <f t="shared" si="355"/>
        <v>280832.52750000003</v>
      </c>
      <c r="I466" s="51">
        <f t="shared" ref="I466:Q466" si="406">I467+I472+I476+I479+I482+I488+I492</f>
        <v>2900</v>
      </c>
      <c r="J466" s="51">
        <f t="shared" si="406"/>
        <v>47525</v>
      </c>
      <c r="K466" s="51">
        <f t="shared" si="406"/>
        <v>108196.38249999999</v>
      </c>
      <c r="L466" s="51">
        <f t="shared" si="406"/>
        <v>108046.745</v>
      </c>
      <c r="M466" s="51">
        <f t="shared" si="406"/>
        <v>0</v>
      </c>
      <c r="N466" s="51">
        <f t="shared" si="406"/>
        <v>13000</v>
      </c>
      <c r="O466" s="51">
        <f t="shared" si="406"/>
        <v>400</v>
      </c>
      <c r="P466" s="51">
        <f t="shared" si="406"/>
        <v>0</v>
      </c>
      <c r="Q466" s="59">
        <f t="shared" si="406"/>
        <v>764.4</v>
      </c>
      <c r="R466" s="84">
        <f>R467+R472+R476+R479+R482+R488+R492</f>
        <v>273497</v>
      </c>
      <c r="S466" s="89">
        <f t="shared" si="402"/>
        <v>10937.395699999994</v>
      </c>
      <c r="T466" s="16">
        <f t="shared" si="403"/>
        <v>284434.39569999999</v>
      </c>
      <c r="U466" s="51">
        <f t="shared" ref="U466:AC466" si="407">U467+U472+U476+U479+U482+U488+U492</f>
        <v>2900</v>
      </c>
      <c r="V466" s="51">
        <f t="shared" si="407"/>
        <v>47525</v>
      </c>
      <c r="W466" s="218">
        <f t="shared" si="407"/>
        <v>111798.2507</v>
      </c>
      <c r="X466" s="51">
        <f t="shared" si="407"/>
        <v>108046.745</v>
      </c>
      <c r="Y466" s="51">
        <f t="shared" si="407"/>
        <v>0</v>
      </c>
      <c r="Z466" s="51">
        <f t="shared" si="407"/>
        <v>13000</v>
      </c>
      <c r="AA466" s="51">
        <f t="shared" si="407"/>
        <v>400</v>
      </c>
      <c r="AB466" s="51">
        <f t="shared" si="407"/>
        <v>0</v>
      </c>
      <c r="AC466" s="59">
        <f t="shared" si="407"/>
        <v>764.4</v>
      </c>
      <c r="AD466" s="255">
        <f>AD467+AD472+AD476+AD479+AD482+AD488+AD492</f>
        <v>41336.285000000003</v>
      </c>
      <c r="AE466" s="256">
        <f t="shared" si="404"/>
        <v>14094.434999999998</v>
      </c>
      <c r="AF466" s="257">
        <f t="shared" si="405"/>
        <v>55430.720000000001</v>
      </c>
      <c r="AG466" s="260">
        <f>AG467+AG472+AG476+AG479+AG482+AG488+AG492</f>
        <v>0</v>
      </c>
      <c r="AH466" s="262">
        <f>10740+3315</f>
        <v>14055</v>
      </c>
      <c r="AI466" s="262">
        <f>22300.5+18960.5</f>
        <v>41261</v>
      </c>
      <c r="AJ466" s="262">
        <v>114.72</v>
      </c>
      <c r="AK466" s="260">
        <f>AK467+AK472+AK476+AK479+AK482+AK488+AK492</f>
        <v>0</v>
      </c>
      <c r="AL466" s="260">
        <f>AL467+AL472+AL476+AL479+AL482+AL488+AL492</f>
        <v>0</v>
      </c>
      <c r="AM466" s="260">
        <f>AM467+AM472+AM476+AM479+AM482+AM488+AM492</f>
        <v>0</v>
      </c>
      <c r="AN466" s="260">
        <f>AN467+AN472+AN476+AN479+AN482+AN488+AN492</f>
        <v>0</v>
      </c>
      <c r="AO466" s="261">
        <f>AO467+AO472+AO476+AO479+AO482+AO488+AO492</f>
        <v>0</v>
      </c>
      <c r="AP466" s="32">
        <f>+AP467+AP472+AP476+AP479+AP482+AP488+AP492</f>
        <v>294026</v>
      </c>
      <c r="AQ466" s="32">
        <f>AQ467+AQ472+AQ476+AQ479+AQ482+AQ488+AQ492</f>
        <v>284290.51</v>
      </c>
      <c r="AR466" s="126">
        <f>AQ466*100/AP466</f>
        <v>96.688901661757811</v>
      </c>
      <c r="AS466" s="108">
        <f t="shared" si="394"/>
        <v>1</v>
      </c>
      <c r="AT466" s="249">
        <f t="shared" si="395"/>
        <v>1.0128256802446076</v>
      </c>
      <c r="AU466" s="249">
        <f t="shared" si="396"/>
        <v>0.15113981140560959</v>
      </c>
      <c r="AV466" s="249">
        <f t="shared" si="397"/>
        <v>0.19737998476689989</v>
      </c>
    </row>
    <row r="467" spans="1:48" s="280" customFormat="1" ht="15.75" x14ac:dyDescent="0.25">
      <c r="A467" s="270" t="s">
        <v>438</v>
      </c>
      <c r="B467" s="271" t="s">
        <v>265</v>
      </c>
      <c r="C467" s="272"/>
      <c r="D467" s="273"/>
      <c r="E467" s="274"/>
      <c r="F467" s="264">
        <f>SUM(F468:F471)</f>
        <v>1000</v>
      </c>
      <c r="G467" s="265">
        <f t="shared" si="362"/>
        <v>0</v>
      </c>
      <c r="H467" s="275">
        <f t="shared" si="355"/>
        <v>1000</v>
      </c>
      <c r="I467" s="267">
        <f t="shared" ref="I467:Q467" si="408">SUM(I468:I471)</f>
        <v>1000</v>
      </c>
      <c r="J467" s="268">
        <f t="shared" si="408"/>
        <v>0</v>
      </c>
      <c r="K467" s="268">
        <f t="shared" si="408"/>
        <v>0</v>
      </c>
      <c r="L467" s="268">
        <f t="shared" si="408"/>
        <v>0</v>
      </c>
      <c r="M467" s="268">
        <f>SUM(M468:M471)</f>
        <v>0</v>
      </c>
      <c r="N467" s="268">
        <f t="shared" si="408"/>
        <v>0</v>
      </c>
      <c r="O467" s="268">
        <f t="shared" si="408"/>
        <v>0</v>
      </c>
      <c r="P467" s="268">
        <f t="shared" si="408"/>
        <v>0</v>
      </c>
      <c r="Q467" s="269">
        <f t="shared" si="408"/>
        <v>0</v>
      </c>
      <c r="R467" s="264">
        <f>SUM(R468:R471)</f>
        <v>1000</v>
      </c>
      <c r="S467" s="265">
        <f t="shared" si="402"/>
        <v>0</v>
      </c>
      <c r="T467" s="275">
        <f t="shared" si="403"/>
        <v>1000</v>
      </c>
      <c r="U467" s="267">
        <f t="shared" ref="U467:AD467" si="409">SUM(U468:U471)</f>
        <v>1000</v>
      </c>
      <c r="V467" s="268">
        <f t="shared" si="409"/>
        <v>0</v>
      </c>
      <c r="W467" s="268">
        <f t="shared" si="409"/>
        <v>0</v>
      </c>
      <c r="X467" s="268">
        <f t="shared" si="409"/>
        <v>0</v>
      </c>
      <c r="Y467" s="268">
        <f t="shared" si="409"/>
        <v>0</v>
      </c>
      <c r="Z467" s="268">
        <f t="shared" si="409"/>
        <v>0</v>
      </c>
      <c r="AA467" s="268">
        <f t="shared" si="409"/>
        <v>0</v>
      </c>
      <c r="AB467" s="268">
        <f t="shared" si="409"/>
        <v>0</v>
      </c>
      <c r="AC467" s="269">
        <f t="shared" si="409"/>
        <v>0</v>
      </c>
      <c r="AD467" s="264">
        <f t="shared" si="409"/>
        <v>0</v>
      </c>
      <c r="AE467" s="265">
        <f t="shared" si="404"/>
        <v>0</v>
      </c>
      <c r="AF467" s="266">
        <f t="shared" si="405"/>
        <v>0</v>
      </c>
      <c r="AG467" s="267">
        <f t="shared" ref="AG467:AO467" si="410">SUM(AG468:AG471)</f>
        <v>0</v>
      </c>
      <c r="AH467" s="268">
        <f t="shared" si="410"/>
        <v>0</v>
      </c>
      <c r="AI467" s="268">
        <f t="shared" si="410"/>
        <v>0</v>
      </c>
      <c r="AJ467" s="268">
        <f t="shared" si="410"/>
        <v>0</v>
      </c>
      <c r="AK467" s="268">
        <f t="shared" si="410"/>
        <v>0</v>
      </c>
      <c r="AL467" s="268">
        <f t="shared" si="410"/>
        <v>0</v>
      </c>
      <c r="AM467" s="268">
        <f t="shared" si="410"/>
        <v>0</v>
      </c>
      <c r="AN467" s="268">
        <f t="shared" si="410"/>
        <v>0</v>
      </c>
      <c r="AO467" s="269">
        <f t="shared" si="410"/>
        <v>0</v>
      </c>
      <c r="AP467" s="276">
        <v>700</v>
      </c>
      <c r="AQ467" s="276">
        <f>142.2+96.94</f>
        <v>239.14</v>
      </c>
      <c r="AR467" s="277">
        <f>AQ467*100/AP467</f>
        <v>34.162857142857142</v>
      </c>
      <c r="AS467" s="278">
        <f t="shared" si="394"/>
        <v>1</v>
      </c>
      <c r="AT467" s="279">
        <f t="shared" si="395"/>
        <v>1</v>
      </c>
      <c r="AU467" s="279">
        <f t="shared" si="396"/>
        <v>0</v>
      </c>
      <c r="AV467" s="279">
        <f t="shared" si="397"/>
        <v>0</v>
      </c>
    </row>
    <row r="468" spans="1:48" outlineLevel="1" x14ac:dyDescent="0.25">
      <c r="A468" s="5" t="s">
        <v>439</v>
      </c>
      <c r="B468" s="75" t="s">
        <v>281</v>
      </c>
      <c r="C468" s="25"/>
      <c r="D468" s="92">
        <v>1</v>
      </c>
      <c r="E468" s="110">
        <v>200</v>
      </c>
      <c r="F468" s="93">
        <f>D468*E468</f>
        <v>200</v>
      </c>
      <c r="G468" s="74">
        <f t="shared" si="362"/>
        <v>0</v>
      </c>
      <c r="H468" s="95">
        <f t="shared" si="355"/>
        <v>200</v>
      </c>
      <c r="I468" s="112">
        <v>200</v>
      </c>
      <c r="J468" s="57"/>
      <c r="K468" s="57"/>
      <c r="L468" s="57"/>
      <c r="M468" s="57"/>
      <c r="N468" s="57"/>
      <c r="O468" s="57"/>
      <c r="P468" s="68"/>
      <c r="Q468" s="58"/>
      <c r="R468" s="93">
        <v>200</v>
      </c>
      <c r="S468" s="74">
        <f t="shared" si="402"/>
        <v>0</v>
      </c>
      <c r="T468" s="95">
        <f t="shared" si="403"/>
        <v>200</v>
      </c>
      <c r="U468" s="112">
        <v>200</v>
      </c>
      <c r="V468" s="57"/>
      <c r="W468" s="57"/>
      <c r="X468" s="57"/>
      <c r="Y468" s="57"/>
      <c r="Z468" s="57"/>
      <c r="AA468" s="57"/>
      <c r="AB468" s="68"/>
      <c r="AC468" s="58"/>
      <c r="AD468" s="170">
        <f>P468*Q468</f>
        <v>0</v>
      </c>
      <c r="AE468" s="89">
        <f t="shared" si="404"/>
        <v>0</v>
      </c>
      <c r="AF468" s="216">
        <f t="shared" si="405"/>
        <v>0</v>
      </c>
      <c r="AG468" s="147"/>
      <c r="AH468" s="148"/>
      <c r="AI468" s="148"/>
      <c r="AJ468" s="148"/>
      <c r="AK468" s="148"/>
      <c r="AL468" s="148"/>
      <c r="AM468" s="148"/>
      <c r="AN468" s="149"/>
      <c r="AO468" s="150"/>
      <c r="AP468" s="76"/>
      <c r="AQ468" s="76"/>
      <c r="AR468" s="128"/>
      <c r="AS468" s="108">
        <f t="shared" si="394"/>
        <v>1</v>
      </c>
      <c r="AT468" s="249">
        <f t="shared" si="395"/>
        <v>1</v>
      </c>
      <c r="AU468" s="249">
        <f t="shared" si="396"/>
        <v>0</v>
      </c>
      <c r="AV468" s="249">
        <f t="shared" si="397"/>
        <v>0</v>
      </c>
    </row>
    <row r="469" spans="1:48" outlineLevel="1" x14ac:dyDescent="0.25">
      <c r="A469" s="4" t="s">
        <v>440</v>
      </c>
      <c r="B469" s="75" t="s">
        <v>309</v>
      </c>
      <c r="C469" s="25"/>
      <c r="D469" s="92">
        <v>4</v>
      </c>
      <c r="E469" s="110">
        <v>100</v>
      </c>
      <c r="F469" s="93">
        <f>D469*E469</f>
        <v>400</v>
      </c>
      <c r="G469" s="74">
        <f t="shared" si="362"/>
        <v>0</v>
      </c>
      <c r="H469" s="95">
        <f t="shared" si="355"/>
        <v>400</v>
      </c>
      <c r="I469" s="112">
        <v>400</v>
      </c>
      <c r="J469" s="57"/>
      <c r="K469" s="57"/>
      <c r="L469" s="57"/>
      <c r="M469" s="57"/>
      <c r="N469" s="57"/>
      <c r="O469" s="57"/>
      <c r="P469" s="68"/>
      <c r="Q469" s="58"/>
      <c r="R469" s="93">
        <v>400</v>
      </c>
      <c r="S469" s="74">
        <f t="shared" si="402"/>
        <v>0</v>
      </c>
      <c r="T469" s="95">
        <f t="shared" si="403"/>
        <v>400</v>
      </c>
      <c r="U469" s="112">
        <v>400</v>
      </c>
      <c r="V469" s="57"/>
      <c r="W469" s="57"/>
      <c r="X469" s="57"/>
      <c r="Y469" s="57"/>
      <c r="Z469" s="57"/>
      <c r="AA469" s="57"/>
      <c r="AB469" s="68"/>
      <c r="AC469" s="58"/>
      <c r="AD469" s="170">
        <f>P469*Q469</f>
        <v>0</v>
      </c>
      <c r="AE469" s="89">
        <f t="shared" si="404"/>
        <v>0</v>
      </c>
      <c r="AF469" s="216">
        <f t="shared" si="405"/>
        <v>0</v>
      </c>
      <c r="AG469" s="147"/>
      <c r="AH469" s="148"/>
      <c r="AI469" s="148"/>
      <c r="AJ469" s="148"/>
      <c r="AK469" s="148"/>
      <c r="AL469" s="148"/>
      <c r="AM469" s="148"/>
      <c r="AN469" s="149"/>
      <c r="AO469" s="150"/>
      <c r="AP469" s="76"/>
      <c r="AQ469" s="76"/>
      <c r="AR469" s="128"/>
      <c r="AS469" s="108">
        <f t="shared" si="394"/>
        <v>1</v>
      </c>
      <c r="AT469" s="249">
        <f t="shared" si="395"/>
        <v>1</v>
      </c>
      <c r="AU469" s="249">
        <f t="shared" si="396"/>
        <v>0</v>
      </c>
      <c r="AV469" s="249">
        <f t="shared" si="397"/>
        <v>0</v>
      </c>
    </row>
    <row r="470" spans="1:48" outlineLevel="1" x14ac:dyDescent="0.25">
      <c r="A470" s="4" t="s">
        <v>441</v>
      </c>
      <c r="B470" s="75" t="s">
        <v>285</v>
      </c>
      <c r="C470" s="25"/>
      <c r="D470" s="92">
        <v>4</v>
      </c>
      <c r="E470" s="110">
        <v>100</v>
      </c>
      <c r="F470" s="93">
        <f>D470*E470</f>
        <v>400</v>
      </c>
      <c r="G470" s="74">
        <f t="shared" si="362"/>
        <v>0</v>
      </c>
      <c r="H470" s="95">
        <f t="shared" si="355"/>
        <v>400</v>
      </c>
      <c r="I470" s="112">
        <v>400</v>
      </c>
      <c r="J470" s="57"/>
      <c r="K470" s="57"/>
      <c r="L470" s="57"/>
      <c r="M470" s="57"/>
      <c r="N470" s="57"/>
      <c r="O470" s="57"/>
      <c r="P470" s="68"/>
      <c r="Q470" s="58"/>
      <c r="R470" s="93">
        <v>400</v>
      </c>
      <c r="S470" s="74">
        <f t="shared" si="402"/>
        <v>0</v>
      </c>
      <c r="T470" s="95">
        <f t="shared" si="403"/>
        <v>400</v>
      </c>
      <c r="U470" s="112">
        <v>400</v>
      </c>
      <c r="V470" s="57"/>
      <c r="W470" s="57"/>
      <c r="X470" s="57"/>
      <c r="Y470" s="57"/>
      <c r="Z470" s="57"/>
      <c r="AA470" s="57"/>
      <c r="AB470" s="68"/>
      <c r="AC470" s="58"/>
      <c r="AD470" s="170">
        <f>P470*Q470</f>
        <v>0</v>
      </c>
      <c r="AE470" s="89">
        <f t="shared" si="404"/>
        <v>0</v>
      </c>
      <c r="AF470" s="216">
        <f t="shared" si="405"/>
        <v>0</v>
      </c>
      <c r="AG470" s="147"/>
      <c r="AH470" s="148"/>
      <c r="AI470" s="148"/>
      <c r="AJ470" s="148"/>
      <c r="AK470" s="148"/>
      <c r="AL470" s="148"/>
      <c r="AM470" s="148"/>
      <c r="AN470" s="149"/>
      <c r="AO470" s="150"/>
      <c r="AP470" s="76"/>
      <c r="AQ470" s="76"/>
      <c r="AR470" s="128"/>
      <c r="AS470" s="108">
        <f t="shared" si="394"/>
        <v>1</v>
      </c>
      <c r="AT470" s="249">
        <f t="shared" si="395"/>
        <v>1</v>
      </c>
      <c r="AU470" s="249">
        <f t="shared" si="396"/>
        <v>0</v>
      </c>
      <c r="AV470" s="249">
        <f t="shared" si="397"/>
        <v>0</v>
      </c>
    </row>
    <row r="471" spans="1:48" outlineLevel="1" x14ac:dyDescent="0.25">
      <c r="A471" s="4" t="s">
        <v>1139</v>
      </c>
      <c r="B471" s="75" t="s">
        <v>47</v>
      </c>
      <c r="C471" s="25"/>
      <c r="D471" s="92">
        <v>0</v>
      </c>
      <c r="E471" s="110">
        <v>0</v>
      </c>
      <c r="F471" s="93">
        <f>D471*E471</f>
        <v>0</v>
      </c>
      <c r="G471" s="74">
        <f t="shared" si="362"/>
        <v>0</v>
      </c>
      <c r="H471" s="95">
        <f t="shared" si="355"/>
        <v>0</v>
      </c>
      <c r="I471" s="112">
        <f>F471</f>
        <v>0</v>
      </c>
      <c r="J471" s="57"/>
      <c r="K471" s="57"/>
      <c r="L471" s="57"/>
      <c r="M471" s="57"/>
      <c r="N471" s="57"/>
      <c r="O471" s="57"/>
      <c r="P471" s="68"/>
      <c r="Q471" s="58"/>
      <c r="R471" s="93">
        <v>0</v>
      </c>
      <c r="S471" s="74">
        <f t="shared" si="402"/>
        <v>0</v>
      </c>
      <c r="T471" s="95">
        <f t="shared" si="403"/>
        <v>0</v>
      </c>
      <c r="U471" s="112">
        <f>R471</f>
        <v>0</v>
      </c>
      <c r="V471" s="57"/>
      <c r="W471" s="57"/>
      <c r="X471" s="57"/>
      <c r="Y471" s="57"/>
      <c r="Z471" s="57"/>
      <c r="AA471" s="57"/>
      <c r="AB471" s="68"/>
      <c r="AC471" s="58"/>
      <c r="AD471" s="170">
        <f>P471*Q471</f>
        <v>0</v>
      </c>
      <c r="AE471" s="89">
        <f t="shared" si="404"/>
        <v>0</v>
      </c>
      <c r="AF471" s="216">
        <f t="shared" si="405"/>
        <v>0</v>
      </c>
      <c r="AG471" s="147"/>
      <c r="AH471" s="148"/>
      <c r="AI471" s="148"/>
      <c r="AJ471" s="148"/>
      <c r="AK471" s="148"/>
      <c r="AL471" s="148"/>
      <c r="AM471" s="148"/>
      <c r="AN471" s="149"/>
      <c r="AO471" s="150"/>
      <c r="AP471" s="76"/>
      <c r="AQ471" s="76"/>
      <c r="AR471" s="128"/>
      <c r="AS471" s="108"/>
      <c r="AT471" s="249"/>
      <c r="AU471" s="249"/>
      <c r="AV471" s="249"/>
    </row>
    <row r="472" spans="1:48" s="280" customFormat="1" ht="15.75" x14ac:dyDescent="0.25">
      <c r="A472" s="270" t="s">
        <v>443</v>
      </c>
      <c r="B472" s="271" t="s">
        <v>248</v>
      </c>
      <c r="C472" s="272"/>
      <c r="D472" s="273"/>
      <c r="E472" s="274"/>
      <c r="F472" s="264">
        <f>SUM(F473:F475)</f>
        <v>14000</v>
      </c>
      <c r="G472" s="265">
        <f t="shared" si="362"/>
        <v>0</v>
      </c>
      <c r="H472" s="275">
        <f t="shared" si="355"/>
        <v>14000</v>
      </c>
      <c r="I472" s="267">
        <f t="shared" ref="I472:Q472" si="411">SUM(I473:I475)</f>
        <v>0</v>
      </c>
      <c r="J472" s="268">
        <f t="shared" si="411"/>
        <v>14000</v>
      </c>
      <c r="K472" s="268">
        <f t="shared" si="411"/>
        <v>0</v>
      </c>
      <c r="L472" s="268">
        <f t="shared" si="411"/>
        <v>0</v>
      </c>
      <c r="M472" s="268">
        <f t="shared" si="411"/>
        <v>0</v>
      </c>
      <c r="N472" s="268">
        <f t="shared" si="411"/>
        <v>0</v>
      </c>
      <c r="O472" s="268">
        <f t="shared" si="411"/>
        <v>0</v>
      </c>
      <c r="P472" s="268">
        <f t="shared" si="411"/>
        <v>0</v>
      </c>
      <c r="Q472" s="269">
        <f t="shared" si="411"/>
        <v>0</v>
      </c>
      <c r="R472" s="264">
        <f>SUM(R473:R475)</f>
        <v>14000</v>
      </c>
      <c r="S472" s="265">
        <f t="shared" si="402"/>
        <v>0</v>
      </c>
      <c r="T472" s="275">
        <f t="shared" si="403"/>
        <v>14000</v>
      </c>
      <c r="U472" s="267">
        <f t="shared" ref="U472:AC472" si="412">SUM(U473:U475)</f>
        <v>0</v>
      </c>
      <c r="V472" s="268">
        <f t="shared" si="412"/>
        <v>14000</v>
      </c>
      <c r="W472" s="268">
        <f t="shared" si="412"/>
        <v>0</v>
      </c>
      <c r="X472" s="268">
        <f t="shared" si="412"/>
        <v>0</v>
      </c>
      <c r="Y472" s="268">
        <f t="shared" si="412"/>
        <v>0</v>
      </c>
      <c r="Z472" s="268">
        <f t="shared" si="412"/>
        <v>0</v>
      </c>
      <c r="AA472" s="268">
        <f t="shared" si="412"/>
        <v>0</v>
      </c>
      <c r="AB472" s="268">
        <f t="shared" si="412"/>
        <v>0</v>
      </c>
      <c r="AC472" s="269">
        <f t="shared" si="412"/>
        <v>0</v>
      </c>
      <c r="AD472" s="264">
        <f>SUM(AD473:AD475)</f>
        <v>5102.5300000000007</v>
      </c>
      <c r="AE472" s="265">
        <f t="shared" si="404"/>
        <v>-5102.5300000000007</v>
      </c>
      <c r="AF472" s="266">
        <f t="shared" si="405"/>
        <v>0</v>
      </c>
      <c r="AG472" s="267">
        <f t="shared" ref="AG472:AO472" si="413">SUM(AG473:AG475)</f>
        <v>0</v>
      </c>
      <c r="AH472" s="268">
        <f t="shared" si="413"/>
        <v>0</v>
      </c>
      <c r="AI472" s="268">
        <f t="shared" si="413"/>
        <v>0</v>
      </c>
      <c r="AJ472" s="268">
        <f t="shared" si="413"/>
        <v>0</v>
      </c>
      <c r="AK472" s="268">
        <f t="shared" si="413"/>
        <v>0</v>
      </c>
      <c r="AL472" s="268">
        <f t="shared" si="413"/>
        <v>0</v>
      </c>
      <c r="AM472" s="268">
        <f t="shared" si="413"/>
        <v>0</v>
      </c>
      <c r="AN472" s="268">
        <f t="shared" si="413"/>
        <v>0</v>
      </c>
      <c r="AO472" s="269">
        <f t="shared" si="413"/>
        <v>0</v>
      </c>
      <c r="AP472" s="276">
        <v>21146</v>
      </c>
      <c r="AQ472" s="276">
        <v>17009.509999999998</v>
      </c>
      <c r="AR472" s="277">
        <f>AQ472*100/AP472</f>
        <v>80.438428071502869</v>
      </c>
      <c r="AS472" s="278">
        <f t="shared" si="394"/>
        <v>1</v>
      </c>
      <c r="AT472" s="279">
        <f t="shared" si="395"/>
        <v>1</v>
      </c>
      <c r="AU472" s="279">
        <f t="shared" si="396"/>
        <v>0.36446642857142864</v>
      </c>
      <c r="AV472" s="279">
        <f t="shared" si="397"/>
        <v>0</v>
      </c>
    </row>
    <row r="473" spans="1:48" outlineLevel="1" x14ac:dyDescent="0.25">
      <c r="A473" s="4" t="s">
        <v>444</v>
      </c>
      <c r="B473" s="75" t="s">
        <v>863</v>
      </c>
      <c r="C473" s="25"/>
      <c r="D473" s="92">
        <v>1</v>
      </c>
      <c r="E473" s="110">
        <v>3000</v>
      </c>
      <c r="F473" s="93">
        <f>D473*E473</f>
        <v>3000</v>
      </c>
      <c r="G473" s="74">
        <f t="shared" si="362"/>
        <v>0</v>
      </c>
      <c r="H473" s="95">
        <f t="shared" si="355"/>
        <v>3000</v>
      </c>
      <c r="I473" s="112"/>
      <c r="J473" s="57">
        <f>F473</f>
        <v>3000</v>
      </c>
      <c r="K473" s="57"/>
      <c r="L473" s="57"/>
      <c r="M473" s="57"/>
      <c r="N473" s="57"/>
      <c r="O473" s="57"/>
      <c r="P473" s="68"/>
      <c r="Q473" s="58"/>
      <c r="R473" s="93">
        <v>3000</v>
      </c>
      <c r="S473" s="74">
        <f t="shared" si="402"/>
        <v>0</v>
      </c>
      <c r="T473" s="95">
        <f t="shared" si="403"/>
        <v>3000</v>
      </c>
      <c r="U473" s="112"/>
      <c r="V473" s="57">
        <f>R473</f>
        <v>3000</v>
      </c>
      <c r="W473" s="57"/>
      <c r="X473" s="57"/>
      <c r="Y473" s="57"/>
      <c r="Z473" s="57"/>
      <c r="AA473" s="57"/>
      <c r="AB473" s="68"/>
      <c r="AC473" s="58"/>
      <c r="AD473" s="170">
        <v>2535.84</v>
      </c>
      <c r="AE473" s="89">
        <f t="shared" si="404"/>
        <v>-2535.84</v>
      </c>
      <c r="AF473" s="216">
        <f t="shared" si="405"/>
        <v>0</v>
      </c>
      <c r="AG473" s="147"/>
      <c r="AH473" s="148">
        <f>O473</f>
        <v>0</v>
      </c>
      <c r="AI473" s="148"/>
      <c r="AJ473" s="148"/>
      <c r="AK473" s="148"/>
      <c r="AL473" s="148"/>
      <c r="AM473" s="148"/>
      <c r="AN473" s="149"/>
      <c r="AO473" s="150"/>
      <c r="AP473" s="76"/>
      <c r="AQ473" s="76"/>
      <c r="AR473" s="128"/>
      <c r="AS473" s="108">
        <f t="shared" si="394"/>
        <v>1</v>
      </c>
      <c r="AT473" s="249">
        <f t="shared" si="395"/>
        <v>1</v>
      </c>
      <c r="AU473" s="249">
        <f t="shared" si="396"/>
        <v>0.84528000000000003</v>
      </c>
      <c r="AV473" s="249">
        <f t="shared" si="397"/>
        <v>0</v>
      </c>
    </row>
    <row r="474" spans="1:48" outlineLevel="1" x14ac:dyDescent="0.25">
      <c r="A474" s="4" t="s">
        <v>445</v>
      </c>
      <c r="B474" s="75" t="s">
        <v>864</v>
      </c>
      <c r="C474" s="25"/>
      <c r="D474" s="92">
        <v>1</v>
      </c>
      <c r="E474" s="110">
        <v>7000</v>
      </c>
      <c r="F474" s="93">
        <f>D474*E474</f>
        <v>7000</v>
      </c>
      <c r="G474" s="74">
        <f t="shared" si="362"/>
        <v>0</v>
      </c>
      <c r="H474" s="95">
        <f t="shared" si="355"/>
        <v>7000</v>
      </c>
      <c r="I474" s="112"/>
      <c r="J474" s="57">
        <f>F474</f>
        <v>7000</v>
      </c>
      <c r="K474" s="57"/>
      <c r="L474" s="57"/>
      <c r="M474" s="57"/>
      <c r="N474" s="57"/>
      <c r="O474" s="57"/>
      <c r="P474" s="68"/>
      <c r="Q474" s="58"/>
      <c r="R474" s="93">
        <v>7000</v>
      </c>
      <c r="S474" s="74">
        <f t="shared" si="402"/>
        <v>0</v>
      </c>
      <c r="T474" s="95">
        <f t="shared" si="403"/>
        <v>7000</v>
      </c>
      <c r="U474" s="112"/>
      <c r="V474" s="57">
        <f>R474</f>
        <v>7000</v>
      </c>
      <c r="W474" s="57"/>
      <c r="X474" s="57"/>
      <c r="Y474" s="57"/>
      <c r="Z474" s="57"/>
      <c r="AA474" s="57"/>
      <c r="AB474" s="68"/>
      <c r="AC474" s="58"/>
      <c r="AD474" s="170">
        <f>P474*Q474</f>
        <v>0</v>
      </c>
      <c r="AE474" s="89">
        <f t="shared" si="404"/>
        <v>0</v>
      </c>
      <c r="AF474" s="216">
        <f t="shared" si="405"/>
        <v>0</v>
      </c>
      <c r="AG474" s="147"/>
      <c r="AH474" s="148">
        <f>O474</f>
        <v>0</v>
      </c>
      <c r="AI474" s="148"/>
      <c r="AJ474" s="148"/>
      <c r="AK474" s="148"/>
      <c r="AL474" s="148"/>
      <c r="AM474" s="148"/>
      <c r="AN474" s="149"/>
      <c r="AO474" s="150"/>
      <c r="AP474" s="76"/>
      <c r="AQ474" s="76"/>
      <c r="AR474" s="128"/>
      <c r="AS474" s="108">
        <f t="shared" si="394"/>
        <v>1</v>
      </c>
      <c r="AT474" s="249">
        <f t="shared" si="395"/>
        <v>1</v>
      </c>
      <c r="AU474" s="249">
        <f t="shared" si="396"/>
        <v>0</v>
      </c>
      <c r="AV474" s="249">
        <f t="shared" si="397"/>
        <v>0</v>
      </c>
    </row>
    <row r="475" spans="1:48" outlineLevel="1" x14ac:dyDescent="0.25">
      <c r="A475" s="4" t="s">
        <v>446</v>
      </c>
      <c r="B475" s="75" t="s">
        <v>865</v>
      </c>
      <c r="C475" s="25"/>
      <c r="D475" s="92">
        <v>1</v>
      </c>
      <c r="E475" s="110">
        <v>4000</v>
      </c>
      <c r="F475" s="93">
        <f>D475*E475</f>
        <v>4000</v>
      </c>
      <c r="G475" s="74">
        <f t="shared" si="362"/>
        <v>0</v>
      </c>
      <c r="H475" s="95">
        <f t="shared" ref="H475:H541" si="414">SUM(I475:Q475)</f>
        <v>4000</v>
      </c>
      <c r="I475" s="112"/>
      <c r="J475" s="57">
        <f>F475</f>
        <v>4000</v>
      </c>
      <c r="K475" s="57"/>
      <c r="L475" s="57"/>
      <c r="M475" s="57"/>
      <c r="N475" s="57"/>
      <c r="O475" s="57"/>
      <c r="P475" s="68"/>
      <c r="Q475" s="58"/>
      <c r="R475" s="93">
        <v>4000</v>
      </c>
      <c r="S475" s="74">
        <f t="shared" si="402"/>
        <v>0</v>
      </c>
      <c r="T475" s="95">
        <f t="shared" si="403"/>
        <v>4000</v>
      </c>
      <c r="U475" s="112"/>
      <c r="V475" s="57">
        <f>R475</f>
        <v>4000</v>
      </c>
      <c r="W475" s="57"/>
      <c r="X475" s="57"/>
      <c r="Y475" s="57"/>
      <c r="Z475" s="57"/>
      <c r="AA475" s="57"/>
      <c r="AB475" s="68"/>
      <c r="AC475" s="58"/>
      <c r="AD475" s="170">
        <v>2566.69</v>
      </c>
      <c r="AE475" s="89">
        <f t="shared" si="404"/>
        <v>-2566.69</v>
      </c>
      <c r="AF475" s="216">
        <f t="shared" si="405"/>
        <v>0</v>
      </c>
      <c r="AG475" s="147"/>
      <c r="AH475" s="148"/>
      <c r="AI475" s="148"/>
      <c r="AJ475" s="148"/>
      <c r="AK475" s="148"/>
      <c r="AL475" s="148"/>
      <c r="AM475" s="148"/>
      <c r="AN475" s="149"/>
      <c r="AO475" s="150"/>
      <c r="AP475" s="76"/>
      <c r="AQ475" s="76"/>
      <c r="AR475" s="128"/>
      <c r="AS475" s="108">
        <f t="shared" si="394"/>
        <v>1</v>
      </c>
      <c r="AT475" s="249">
        <f t="shared" si="395"/>
        <v>1</v>
      </c>
      <c r="AU475" s="249">
        <f t="shared" si="396"/>
        <v>0.64167249999999998</v>
      </c>
      <c r="AV475" s="249">
        <f t="shared" si="397"/>
        <v>0</v>
      </c>
    </row>
    <row r="476" spans="1:48" s="280" customFormat="1" ht="15.75" x14ac:dyDescent="0.25">
      <c r="A476" s="270" t="s">
        <v>447</v>
      </c>
      <c r="B476" s="271" t="s">
        <v>656</v>
      </c>
      <c r="C476" s="272"/>
      <c r="D476" s="273"/>
      <c r="E476" s="274"/>
      <c r="F476" s="264">
        <f>SUM(F477:F478)</f>
        <v>60000</v>
      </c>
      <c r="G476" s="265">
        <f t="shared" si="362"/>
        <v>7334.8824999999924</v>
      </c>
      <c r="H476" s="275">
        <f t="shared" si="414"/>
        <v>67334.882499999992</v>
      </c>
      <c r="I476" s="267">
        <f t="shared" ref="I476:Q476" si="415">SUM(I477:I478)</f>
        <v>0</v>
      </c>
      <c r="J476" s="268">
        <f t="shared" si="415"/>
        <v>11400</v>
      </c>
      <c r="K476" s="268">
        <f t="shared" si="415"/>
        <v>36574.732499999998</v>
      </c>
      <c r="L476" s="268">
        <f t="shared" si="415"/>
        <v>19360.149999999998</v>
      </c>
      <c r="M476" s="268">
        <f t="shared" si="415"/>
        <v>0</v>
      </c>
      <c r="N476" s="268">
        <f t="shared" si="415"/>
        <v>0</v>
      </c>
      <c r="O476" s="268">
        <f t="shared" si="415"/>
        <v>0</v>
      </c>
      <c r="P476" s="268">
        <f t="shared" si="415"/>
        <v>0</v>
      </c>
      <c r="Q476" s="269">
        <f t="shared" si="415"/>
        <v>0</v>
      </c>
      <c r="R476" s="264">
        <f>SUM(R477:R478)</f>
        <v>60000</v>
      </c>
      <c r="S476" s="265">
        <f t="shared" si="402"/>
        <v>-1443.0532999999996</v>
      </c>
      <c r="T476" s="275">
        <f t="shared" si="403"/>
        <v>58556.9467</v>
      </c>
      <c r="U476" s="267">
        <f t="shared" ref="U476:AC476" si="416">SUM(U477:U478)</f>
        <v>0</v>
      </c>
      <c r="V476" s="268">
        <f t="shared" si="416"/>
        <v>11400</v>
      </c>
      <c r="W476" s="268">
        <f t="shared" si="416"/>
        <v>27796.796699999999</v>
      </c>
      <c r="X476" s="268">
        <f t="shared" si="416"/>
        <v>19360.149999999998</v>
      </c>
      <c r="Y476" s="268">
        <f t="shared" si="416"/>
        <v>0</v>
      </c>
      <c r="Z476" s="268">
        <f t="shared" si="416"/>
        <v>0</v>
      </c>
      <c r="AA476" s="268">
        <f t="shared" si="416"/>
        <v>0</v>
      </c>
      <c r="AB476" s="268">
        <f t="shared" si="416"/>
        <v>0</v>
      </c>
      <c r="AC476" s="269">
        <f t="shared" si="416"/>
        <v>0</v>
      </c>
      <c r="AD476" s="264">
        <f>SUM(AD477:AD478)</f>
        <v>16433</v>
      </c>
      <c r="AE476" s="265">
        <f t="shared" si="404"/>
        <v>-16433</v>
      </c>
      <c r="AF476" s="266">
        <f t="shared" si="405"/>
        <v>0</v>
      </c>
      <c r="AG476" s="267">
        <f t="shared" ref="AG476:AO476" si="417">SUM(AG477:AG478)</f>
        <v>0</v>
      </c>
      <c r="AH476" s="268">
        <f t="shared" si="417"/>
        <v>0</v>
      </c>
      <c r="AI476" s="268">
        <f t="shared" si="417"/>
        <v>0</v>
      </c>
      <c r="AJ476" s="268">
        <f t="shared" si="417"/>
        <v>0</v>
      </c>
      <c r="AK476" s="268">
        <f t="shared" si="417"/>
        <v>0</v>
      </c>
      <c r="AL476" s="268">
        <f t="shared" si="417"/>
        <v>0</v>
      </c>
      <c r="AM476" s="268">
        <f t="shared" si="417"/>
        <v>0</v>
      </c>
      <c r="AN476" s="268">
        <f t="shared" si="417"/>
        <v>0</v>
      </c>
      <c r="AO476" s="269">
        <f t="shared" si="417"/>
        <v>0</v>
      </c>
      <c r="AP476" s="276">
        <f>50000+12000</f>
        <v>62000</v>
      </c>
      <c r="AQ476" s="276">
        <f>68282.85-5840.26</f>
        <v>62442.590000000004</v>
      </c>
      <c r="AR476" s="277">
        <f>AQ476*100/AP476</f>
        <v>100.71385483870968</v>
      </c>
      <c r="AS476" s="278">
        <f t="shared" si="394"/>
        <v>1</v>
      </c>
      <c r="AT476" s="279">
        <f t="shared" si="395"/>
        <v>0.86963761613454971</v>
      </c>
      <c r="AU476" s="279">
        <f t="shared" si="396"/>
        <v>0.27388333333333331</v>
      </c>
      <c r="AV476" s="279">
        <f t="shared" si="397"/>
        <v>0</v>
      </c>
    </row>
    <row r="477" spans="1:48" outlineLevel="1" x14ac:dyDescent="0.25">
      <c r="A477" s="4" t="s">
        <v>448</v>
      </c>
      <c r="B477" s="75" t="s">
        <v>862</v>
      </c>
      <c r="C477" s="25"/>
      <c r="D477" s="92">
        <v>1</v>
      </c>
      <c r="E477" s="110">
        <v>60000</v>
      </c>
      <c r="F477" s="93">
        <f>D477*E477</f>
        <v>60000</v>
      </c>
      <c r="G477" s="74">
        <f t="shared" si="362"/>
        <v>7334.8824999999924</v>
      </c>
      <c r="H477" s="95">
        <f t="shared" si="414"/>
        <v>67334.882499999992</v>
      </c>
      <c r="I477" s="112"/>
      <c r="J477" s="57">
        <f>12700-1300</f>
        <v>11400</v>
      </c>
      <c r="K477" s="57">
        <f>53591*0.95*0.85-4000-2000-700</f>
        <v>36574.732499999998</v>
      </c>
      <c r="L477" s="57">
        <f>26659*0.85-3300</f>
        <v>19360.149999999998</v>
      </c>
      <c r="M477" s="57"/>
      <c r="N477" s="57"/>
      <c r="O477" s="57"/>
      <c r="P477" s="68"/>
      <c r="Q477" s="58"/>
      <c r="R477" s="93">
        <v>60000</v>
      </c>
      <c r="S477" s="74">
        <f t="shared" si="402"/>
        <v>-1443.0532999999996</v>
      </c>
      <c r="T477" s="95">
        <f t="shared" si="403"/>
        <v>58556.9467</v>
      </c>
      <c r="U477" s="112"/>
      <c r="V477" s="57">
        <f>12700-1300</f>
        <v>11400</v>
      </c>
      <c r="W477" s="57">
        <f>(53591*0.95*0.85-4000-2000-700)*0.76</f>
        <v>27796.796699999999</v>
      </c>
      <c r="X477" s="57">
        <f>26659*0.85-3300</f>
        <v>19360.149999999998</v>
      </c>
      <c r="Y477" s="57"/>
      <c r="Z477" s="57"/>
      <c r="AA477" s="57"/>
      <c r="AB477" s="68"/>
      <c r="AC477" s="58"/>
      <c r="AD477" s="170">
        <v>16433</v>
      </c>
      <c r="AE477" s="89">
        <f t="shared" si="404"/>
        <v>-16433</v>
      </c>
      <c r="AF477" s="216">
        <f t="shared" si="405"/>
        <v>0</v>
      </c>
      <c r="AG477" s="147"/>
      <c r="AH477" s="148"/>
      <c r="AI477" s="148"/>
      <c r="AJ477" s="148"/>
      <c r="AK477" s="148"/>
      <c r="AL477" s="148"/>
      <c r="AM477" s="148"/>
      <c r="AN477" s="149"/>
      <c r="AO477" s="150"/>
      <c r="AP477" s="76"/>
      <c r="AQ477" s="76"/>
      <c r="AR477" s="128"/>
      <c r="AS477" s="108">
        <f t="shared" si="394"/>
        <v>1</v>
      </c>
      <c r="AT477" s="249">
        <f t="shared" si="395"/>
        <v>0.86963761613454971</v>
      </c>
      <c r="AU477" s="249">
        <f t="shared" si="396"/>
        <v>0.27388333333333331</v>
      </c>
      <c r="AV477" s="249">
        <f t="shared" si="397"/>
        <v>0</v>
      </c>
    </row>
    <row r="478" spans="1:48" outlineLevel="1" x14ac:dyDescent="0.25">
      <c r="A478" s="4" t="s">
        <v>1140</v>
      </c>
      <c r="B478" s="75" t="s">
        <v>47</v>
      </c>
      <c r="C478" s="25"/>
      <c r="D478" s="92"/>
      <c r="E478" s="110"/>
      <c r="F478" s="93">
        <f>D478*E478</f>
        <v>0</v>
      </c>
      <c r="G478" s="74">
        <f t="shared" si="362"/>
        <v>0</v>
      </c>
      <c r="H478" s="95">
        <f t="shared" si="414"/>
        <v>0</v>
      </c>
      <c r="I478" s="112"/>
      <c r="J478" s="57"/>
      <c r="K478" s="57"/>
      <c r="L478" s="57"/>
      <c r="M478" s="57"/>
      <c r="N478" s="57"/>
      <c r="O478" s="57"/>
      <c r="P478" s="68"/>
      <c r="Q478" s="58"/>
      <c r="R478" s="93">
        <f>P478*Q478</f>
        <v>0</v>
      </c>
      <c r="S478" s="74">
        <f t="shared" si="402"/>
        <v>0</v>
      </c>
      <c r="T478" s="95">
        <f t="shared" si="403"/>
        <v>0</v>
      </c>
      <c r="U478" s="112"/>
      <c r="V478" s="57"/>
      <c r="W478" s="57"/>
      <c r="X478" s="57"/>
      <c r="Y478" s="57"/>
      <c r="Z478" s="57"/>
      <c r="AA478" s="57"/>
      <c r="AB478" s="68"/>
      <c r="AC478" s="58"/>
      <c r="AD478" s="170">
        <f>P478*Q478</f>
        <v>0</v>
      </c>
      <c r="AE478" s="89">
        <f t="shared" si="404"/>
        <v>0</v>
      </c>
      <c r="AF478" s="216">
        <f t="shared" si="405"/>
        <v>0</v>
      </c>
      <c r="AG478" s="147"/>
      <c r="AH478" s="148"/>
      <c r="AI478" s="148"/>
      <c r="AJ478" s="148"/>
      <c r="AK478" s="148"/>
      <c r="AL478" s="148"/>
      <c r="AM478" s="148"/>
      <c r="AN478" s="149"/>
      <c r="AO478" s="150"/>
      <c r="AP478" s="76"/>
      <c r="AQ478" s="76"/>
      <c r="AR478" s="128"/>
      <c r="AS478" s="108"/>
      <c r="AT478" s="249"/>
      <c r="AU478" s="249"/>
      <c r="AV478" s="249"/>
    </row>
    <row r="479" spans="1:48" s="280" customFormat="1" ht="15.75" x14ac:dyDescent="0.25">
      <c r="A479" s="270" t="s">
        <v>450</v>
      </c>
      <c r="B479" s="271" t="s">
        <v>657</v>
      </c>
      <c r="C479" s="272"/>
      <c r="D479" s="273"/>
      <c r="E479" s="274"/>
      <c r="F479" s="264">
        <f>SUM(F480:F481)</f>
        <v>90000</v>
      </c>
      <c r="G479" s="265">
        <f t="shared" si="362"/>
        <v>-0.20500000000174623</v>
      </c>
      <c r="H479" s="275">
        <f t="shared" si="414"/>
        <v>89999.794999999998</v>
      </c>
      <c r="I479" s="267">
        <f t="shared" ref="I479:Q479" si="418">SUM(I480:I481)</f>
        <v>0</v>
      </c>
      <c r="J479" s="268">
        <f t="shared" si="418"/>
        <v>0</v>
      </c>
      <c r="K479" s="268">
        <f t="shared" si="418"/>
        <v>34807.25</v>
      </c>
      <c r="L479" s="268">
        <f t="shared" si="418"/>
        <v>55192.544999999998</v>
      </c>
      <c r="M479" s="268">
        <f t="shared" si="418"/>
        <v>0</v>
      </c>
      <c r="N479" s="268">
        <f t="shared" si="418"/>
        <v>0</v>
      </c>
      <c r="O479" s="268">
        <f t="shared" si="418"/>
        <v>0</v>
      </c>
      <c r="P479" s="268">
        <f t="shared" si="418"/>
        <v>0</v>
      </c>
      <c r="Q479" s="269">
        <f t="shared" si="418"/>
        <v>0</v>
      </c>
      <c r="R479" s="264">
        <f>SUM(R480:R481)</f>
        <v>90000</v>
      </c>
      <c r="S479" s="265">
        <f t="shared" si="402"/>
        <v>-8353.945000000007</v>
      </c>
      <c r="T479" s="275">
        <f t="shared" si="403"/>
        <v>81646.054999999993</v>
      </c>
      <c r="U479" s="267">
        <f t="shared" ref="U479:AC479" si="419">SUM(U480:U481)</f>
        <v>0</v>
      </c>
      <c r="V479" s="268">
        <f t="shared" si="419"/>
        <v>0</v>
      </c>
      <c r="W479" s="268">
        <f t="shared" si="419"/>
        <v>26453.510000000002</v>
      </c>
      <c r="X479" s="268">
        <f t="shared" si="419"/>
        <v>55192.544999999998</v>
      </c>
      <c r="Y479" s="268">
        <f t="shared" si="419"/>
        <v>0</v>
      </c>
      <c r="Z479" s="268">
        <f t="shared" si="419"/>
        <v>0</v>
      </c>
      <c r="AA479" s="268">
        <f t="shared" si="419"/>
        <v>0</v>
      </c>
      <c r="AB479" s="268">
        <f t="shared" si="419"/>
        <v>0</v>
      </c>
      <c r="AC479" s="269">
        <f t="shared" si="419"/>
        <v>0</v>
      </c>
      <c r="AD479" s="264">
        <f>SUM(AD480:AD481)</f>
        <v>13993.37</v>
      </c>
      <c r="AE479" s="265">
        <f t="shared" si="404"/>
        <v>-13993.37</v>
      </c>
      <c r="AF479" s="266">
        <f t="shared" si="405"/>
        <v>0</v>
      </c>
      <c r="AG479" s="267">
        <f t="shared" ref="AG479:AO479" si="420">SUM(AG480:AG481)</f>
        <v>0</v>
      </c>
      <c r="AH479" s="268">
        <f t="shared" si="420"/>
        <v>0</v>
      </c>
      <c r="AI479" s="268">
        <f t="shared" si="420"/>
        <v>0</v>
      </c>
      <c r="AJ479" s="268">
        <f t="shared" si="420"/>
        <v>0</v>
      </c>
      <c r="AK479" s="268">
        <f t="shared" si="420"/>
        <v>0</v>
      </c>
      <c r="AL479" s="268">
        <f t="shared" si="420"/>
        <v>0</v>
      </c>
      <c r="AM479" s="268">
        <f t="shared" si="420"/>
        <v>0</v>
      </c>
      <c r="AN479" s="268">
        <f t="shared" si="420"/>
        <v>0</v>
      </c>
      <c r="AO479" s="269">
        <f t="shared" si="420"/>
        <v>0</v>
      </c>
      <c r="AP479" s="276">
        <f>85000+10000</f>
        <v>95000</v>
      </c>
      <c r="AQ479" s="276">
        <f>106611.76-7800.3</f>
        <v>98811.459999999992</v>
      </c>
      <c r="AR479" s="277">
        <f>AQ479*100/AP479</f>
        <v>104.01206315789474</v>
      </c>
      <c r="AS479" s="278">
        <f t="shared" si="394"/>
        <v>1</v>
      </c>
      <c r="AT479" s="279">
        <f t="shared" si="395"/>
        <v>0.90718045524437019</v>
      </c>
      <c r="AU479" s="279">
        <f t="shared" si="396"/>
        <v>0.15548188888888889</v>
      </c>
      <c r="AV479" s="279">
        <f t="shared" si="397"/>
        <v>0</v>
      </c>
    </row>
    <row r="480" spans="1:48" outlineLevel="1" x14ac:dyDescent="0.25">
      <c r="A480" s="4" t="s">
        <v>451</v>
      </c>
      <c r="B480" s="75" t="s">
        <v>862</v>
      </c>
      <c r="C480" s="25"/>
      <c r="D480" s="92">
        <v>1</v>
      </c>
      <c r="E480" s="110">
        <v>90000</v>
      </c>
      <c r="F480" s="93">
        <f>D480*E480</f>
        <v>90000</v>
      </c>
      <c r="G480" s="74">
        <f t="shared" si="362"/>
        <v>-0.20500000000174623</v>
      </c>
      <c r="H480" s="95">
        <f t="shared" si="414"/>
        <v>89999.794999999998</v>
      </c>
      <c r="I480" s="112"/>
      <c r="J480" s="57"/>
      <c r="K480" s="57">
        <f>62300*0.95*0.85-15500</f>
        <v>34807.25</v>
      </c>
      <c r="L480" s="57">
        <f>92653*0.9*0.85-15500-187</f>
        <v>55192.544999999998</v>
      </c>
      <c r="M480" s="57"/>
      <c r="N480" s="57"/>
      <c r="O480" s="57"/>
      <c r="P480" s="68"/>
      <c r="Q480" s="58"/>
      <c r="R480" s="93">
        <v>90000</v>
      </c>
      <c r="S480" s="74">
        <f t="shared" si="402"/>
        <v>-8353.945000000007</v>
      </c>
      <c r="T480" s="95">
        <f t="shared" si="403"/>
        <v>81646.054999999993</v>
      </c>
      <c r="U480" s="112"/>
      <c r="V480" s="57"/>
      <c r="W480" s="57">
        <f>(62300*0.95*0.85-15500)*0.76</f>
        <v>26453.510000000002</v>
      </c>
      <c r="X480" s="57">
        <f>92653*0.9*0.85-15500-187</f>
        <v>55192.544999999998</v>
      </c>
      <c r="Y480" s="57"/>
      <c r="Z480" s="57"/>
      <c r="AA480" s="57"/>
      <c r="AB480" s="68"/>
      <c r="AC480" s="58"/>
      <c r="AD480" s="170">
        <v>13993.37</v>
      </c>
      <c r="AE480" s="89">
        <f t="shared" si="404"/>
        <v>-13993.37</v>
      </c>
      <c r="AF480" s="216">
        <f t="shared" si="405"/>
        <v>0</v>
      </c>
      <c r="AG480" s="147"/>
      <c r="AH480" s="148"/>
      <c r="AI480" s="187"/>
      <c r="AJ480" s="148"/>
      <c r="AK480" s="148"/>
      <c r="AL480" s="148"/>
      <c r="AM480" s="148"/>
      <c r="AN480" s="149"/>
      <c r="AO480" s="150"/>
      <c r="AP480" s="76"/>
      <c r="AQ480" s="76"/>
      <c r="AR480" s="128"/>
      <c r="AS480" s="108">
        <f t="shared" si="394"/>
        <v>1</v>
      </c>
      <c r="AT480" s="249">
        <f t="shared" si="395"/>
        <v>0.90718045524437019</v>
      </c>
      <c r="AU480" s="249">
        <f t="shared" si="396"/>
        <v>0.15548188888888889</v>
      </c>
      <c r="AV480" s="249">
        <f t="shared" si="397"/>
        <v>0</v>
      </c>
    </row>
    <row r="481" spans="1:48" outlineLevel="1" x14ac:dyDescent="0.25">
      <c r="A481" s="6" t="s">
        <v>1141</v>
      </c>
      <c r="B481" s="75" t="s">
        <v>47</v>
      </c>
      <c r="C481" s="25"/>
      <c r="D481" s="92"/>
      <c r="E481" s="110"/>
      <c r="F481" s="93">
        <f>D481*E481</f>
        <v>0</v>
      </c>
      <c r="G481" s="74">
        <f t="shared" ref="G481:G547" si="421">H481-F481</f>
        <v>0</v>
      </c>
      <c r="H481" s="95">
        <f t="shared" si="414"/>
        <v>0</v>
      </c>
      <c r="I481" s="112"/>
      <c r="J481" s="57"/>
      <c r="K481" s="57"/>
      <c r="L481" s="57"/>
      <c r="M481" s="57"/>
      <c r="N481" s="57"/>
      <c r="O481" s="57"/>
      <c r="P481" s="68"/>
      <c r="Q481" s="58"/>
      <c r="R481" s="93">
        <f>P481*Q481</f>
        <v>0</v>
      </c>
      <c r="S481" s="74">
        <f t="shared" si="402"/>
        <v>0</v>
      </c>
      <c r="T481" s="95">
        <f t="shared" si="403"/>
        <v>0</v>
      </c>
      <c r="U481" s="112"/>
      <c r="V481" s="57"/>
      <c r="W481" s="57"/>
      <c r="X481" s="57"/>
      <c r="Y481" s="57"/>
      <c r="Z481" s="57"/>
      <c r="AA481" s="57"/>
      <c r="AB481" s="68"/>
      <c r="AC481" s="58"/>
      <c r="AD481" s="170">
        <f>P481*Q481</f>
        <v>0</v>
      </c>
      <c r="AE481" s="89">
        <f t="shared" si="404"/>
        <v>0</v>
      </c>
      <c r="AF481" s="216">
        <f t="shared" si="405"/>
        <v>0</v>
      </c>
      <c r="AG481" s="147"/>
      <c r="AH481" s="148"/>
      <c r="AI481" s="148"/>
      <c r="AJ481" s="148"/>
      <c r="AK481" s="148"/>
      <c r="AL481" s="148"/>
      <c r="AM481" s="148"/>
      <c r="AN481" s="149"/>
      <c r="AO481" s="150"/>
      <c r="AP481" s="76"/>
      <c r="AQ481" s="76"/>
      <c r="AR481" s="128"/>
      <c r="AS481" s="108"/>
      <c r="AT481" s="249"/>
      <c r="AU481" s="249"/>
      <c r="AV481" s="249"/>
    </row>
    <row r="482" spans="1:48" s="280" customFormat="1" ht="15.75" x14ac:dyDescent="0.25">
      <c r="A482" s="270" t="s">
        <v>453</v>
      </c>
      <c r="B482" s="271" t="s">
        <v>286</v>
      </c>
      <c r="C482" s="272"/>
      <c r="D482" s="273"/>
      <c r="E482" s="274"/>
      <c r="F482" s="264">
        <f>SUM(F483:F487)</f>
        <v>74576</v>
      </c>
      <c r="G482" s="265">
        <f t="shared" si="421"/>
        <v>0.39999999999417923</v>
      </c>
      <c r="H482" s="275">
        <f t="shared" si="414"/>
        <v>74576.399999999994</v>
      </c>
      <c r="I482" s="267">
        <f t="shared" ref="I482:Q482" si="422">SUM(I483:I487)</f>
        <v>1900</v>
      </c>
      <c r="J482" s="268">
        <f t="shared" si="422"/>
        <v>21225</v>
      </c>
      <c r="K482" s="268">
        <f t="shared" si="422"/>
        <v>20300</v>
      </c>
      <c r="L482" s="268">
        <f t="shared" si="422"/>
        <v>16987</v>
      </c>
      <c r="M482" s="268">
        <f t="shared" si="422"/>
        <v>0</v>
      </c>
      <c r="N482" s="268">
        <f t="shared" si="422"/>
        <v>13000</v>
      </c>
      <c r="O482" s="268">
        <f t="shared" si="422"/>
        <v>400</v>
      </c>
      <c r="P482" s="268">
        <f t="shared" si="422"/>
        <v>0</v>
      </c>
      <c r="Q482" s="269">
        <f t="shared" si="422"/>
        <v>764.4</v>
      </c>
      <c r="R482" s="264">
        <f>SUM(R483:R487)</f>
        <v>74576</v>
      </c>
      <c r="S482" s="265">
        <f t="shared" si="402"/>
        <v>-4871.6000000000058</v>
      </c>
      <c r="T482" s="275">
        <f t="shared" si="403"/>
        <v>69704.399999999994</v>
      </c>
      <c r="U482" s="267">
        <f t="shared" ref="U482:AC482" si="423">SUM(U483:U487)</f>
        <v>1900</v>
      </c>
      <c r="V482" s="268">
        <f t="shared" si="423"/>
        <v>21225</v>
      </c>
      <c r="W482" s="268">
        <f t="shared" si="423"/>
        <v>15428</v>
      </c>
      <c r="X482" s="268">
        <f t="shared" si="423"/>
        <v>16987</v>
      </c>
      <c r="Y482" s="268">
        <f t="shared" si="423"/>
        <v>0</v>
      </c>
      <c r="Z482" s="268">
        <f t="shared" si="423"/>
        <v>13000</v>
      </c>
      <c r="AA482" s="268">
        <f t="shared" si="423"/>
        <v>400</v>
      </c>
      <c r="AB482" s="268">
        <f t="shared" si="423"/>
        <v>0</v>
      </c>
      <c r="AC482" s="269">
        <f t="shared" si="423"/>
        <v>764.4</v>
      </c>
      <c r="AD482" s="264">
        <f>SUM(AD483:AD487)</f>
        <v>4900.7649999999994</v>
      </c>
      <c r="AE482" s="265">
        <f t="shared" si="404"/>
        <v>-4900.7649999999994</v>
      </c>
      <c r="AF482" s="266">
        <f t="shared" si="405"/>
        <v>0</v>
      </c>
      <c r="AG482" s="267">
        <f t="shared" ref="AG482:AO482" si="424">SUM(AG483:AG487)</f>
        <v>0</v>
      </c>
      <c r="AH482" s="268">
        <f t="shared" si="424"/>
        <v>0</v>
      </c>
      <c r="AI482" s="268">
        <f t="shared" si="424"/>
        <v>0</v>
      </c>
      <c r="AJ482" s="268">
        <f t="shared" si="424"/>
        <v>0</v>
      </c>
      <c r="AK482" s="268">
        <f t="shared" si="424"/>
        <v>0</v>
      </c>
      <c r="AL482" s="268">
        <f t="shared" si="424"/>
        <v>0</v>
      </c>
      <c r="AM482" s="268">
        <f t="shared" si="424"/>
        <v>0</v>
      </c>
      <c r="AN482" s="268">
        <f t="shared" si="424"/>
        <v>0</v>
      </c>
      <c r="AO482" s="269">
        <f t="shared" si="424"/>
        <v>0</v>
      </c>
      <c r="AP482" s="276">
        <v>79000</v>
      </c>
      <c r="AQ482" s="276">
        <f>20847.44+39997.96+6545.77+2216.65</f>
        <v>69607.819999999992</v>
      </c>
      <c r="AR482" s="277">
        <f>AQ482*100/AP482</f>
        <v>88.111164556962009</v>
      </c>
      <c r="AS482" s="278">
        <f t="shared" si="394"/>
        <v>1</v>
      </c>
      <c r="AT482" s="279">
        <f t="shared" si="395"/>
        <v>0.93467102193187124</v>
      </c>
      <c r="AU482" s="279">
        <f t="shared" si="396"/>
        <v>6.5715042372881352E-2</v>
      </c>
      <c r="AV482" s="279">
        <f t="shared" si="397"/>
        <v>0</v>
      </c>
    </row>
    <row r="483" spans="1:48" outlineLevel="1" x14ac:dyDescent="0.25">
      <c r="A483" s="4" t="s">
        <v>454</v>
      </c>
      <c r="B483" s="75" t="s">
        <v>867</v>
      </c>
      <c r="C483" s="25"/>
      <c r="D483" s="92">
        <v>1</v>
      </c>
      <c r="E483" s="93">
        <v>24800</v>
      </c>
      <c r="F483" s="93">
        <f>D483*E483</f>
        <v>24800</v>
      </c>
      <c r="G483" s="74">
        <f t="shared" si="421"/>
        <v>0</v>
      </c>
      <c r="H483" s="95">
        <f t="shared" si="414"/>
        <v>24800</v>
      </c>
      <c r="I483" s="112"/>
      <c r="J483" s="57">
        <f>10700+7000-900</f>
        <v>16800</v>
      </c>
      <c r="K483" s="57">
        <f>4000+700</f>
        <v>4700</v>
      </c>
      <c r="L483" s="57">
        <v>3300</v>
      </c>
      <c r="M483" s="57"/>
      <c r="N483" s="57"/>
      <c r="O483" s="57"/>
      <c r="P483" s="68"/>
      <c r="Q483" s="58"/>
      <c r="R483" s="93">
        <v>24800</v>
      </c>
      <c r="S483" s="74">
        <f t="shared" si="402"/>
        <v>-1128</v>
      </c>
      <c r="T483" s="95">
        <f t="shared" si="403"/>
        <v>23672</v>
      </c>
      <c r="U483" s="112"/>
      <c r="V483" s="57">
        <f>10700+7000-900</f>
        <v>16800</v>
      </c>
      <c r="W483" s="57">
        <f>(4000+700)*0.76</f>
        <v>3572</v>
      </c>
      <c r="X483" s="57">
        <v>3300</v>
      </c>
      <c r="Y483" s="57"/>
      <c r="Z483" s="57"/>
      <c r="AA483" s="57"/>
      <c r="AB483" s="68"/>
      <c r="AC483" s="58"/>
      <c r="AD483" s="170">
        <v>303.94</v>
      </c>
      <c r="AE483" s="89">
        <f t="shared" si="404"/>
        <v>-303.94</v>
      </c>
      <c r="AF483" s="216">
        <f t="shared" si="405"/>
        <v>0</v>
      </c>
      <c r="AG483" s="147"/>
      <c r="AH483" s="148"/>
      <c r="AI483" s="148"/>
      <c r="AJ483" s="148"/>
      <c r="AK483" s="148"/>
      <c r="AL483" s="148"/>
      <c r="AM483" s="148"/>
      <c r="AN483" s="149"/>
      <c r="AO483" s="150"/>
      <c r="AP483" s="76"/>
      <c r="AQ483" s="76"/>
      <c r="AR483" s="128"/>
      <c r="AS483" s="108">
        <f t="shared" si="394"/>
        <v>1</v>
      </c>
      <c r="AT483" s="249">
        <f t="shared" si="395"/>
        <v>0.95451612903225802</v>
      </c>
      <c r="AU483" s="249">
        <f t="shared" si="396"/>
        <v>1.2255645161290322E-2</v>
      </c>
      <c r="AV483" s="249">
        <f t="shared" si="397"/>
        <v>0</v>
      </c>
    </row>
    <row r="484" spans="1:48" outlineLevel="1" x14ac:dyDescent="0.25">
      <c r="A484" s="4" t="s">
        <v>455</v>
      </c>
      <c r="B484" s="75" t="s">
        <v>868</v>
      </c>
      <c r="C484" s="25"/>
      <c r="D484" s="92">
        <v>1</v>
      </c>
      <c r="E484" s="93">
        <v>49012</v>
      </c>
      <c r="F484" s="93">
        <f>D484*E484</f>
        <v>49012</v>
      </c>
      <c r="G484" s="74">
        <f t="shared" si="421"/>
        <v>0</v>
      </c>
      <c r="H484" s="95">
        <f t="shared" si="414"/>
        <v>49012</v>
      </c>
      <c r="I484" s="112">
        <v>1900</v>
      </c>
      <c r="J484" s="57">
        <v>4425</v>
      </c>
      <c r="K484" s="57">
        <v>15600</v>
      </c>
      <c r="L484" s="57">
        <f>15687-2000</f>
        <v>13687</v>
      </c>
      <c r="M484" s="57"/>
      <c r="N484" s="57">
        <v>13000</v>
      </c>
      <c r="O484" s="57">
        <v>400</v>
      </c>
      <c r="P484" s="68"/>
      <c r="Q484" s="58"/>
      <c r="R484" s="93">
        <v>49012</v>
      </c>
      <c r="S484" s="74">
        <f t="shared" si="402"/>
        <v>-3744</v>
      </c>
      <c r="T484" s="95">
        <f t="shared" si="403"/>
        <v>45268</v>
      </c>
      <c r="U484" s="112">
        <v>1900</v>
      </c>
      <c r="V484" s="57">
        <v>4425</v>
      </c>
      <c r="W484" s="57">
        <f>15600*0.76</f>
        <v>11856</v>
      </c>
      <c r="X484" s="57">
        <f>15687-2000</f>
        <v>13687</v>
      </c>
      <c r="Y484" s="57"/>
      <c r="Z484" s="57">
        <v>13000</v>
      </c>
      <c r="AA484" s="57">
        <v>400</v>
      </c>
      <c r="AB484" s="68"/>
      <c r="AC484" s="58"/>
      <c r="AD484" s="170">
        <v>4000</v>
      </c>
      <c r="AE484" s="89">
        <f t="shared" si="404"/>
        <v>-4000</v>
      </c>
      <c r="AF484" s="216">
        <f t="shared" si="405"/>
        <v>0</v>
      </c>
      <c r="AG484" s="147"/>
      <c r="AH484" s="148"/>
      <c r="AI484" s="148"/>
      <c r="AJ484" s="148"/>
      <c r="AK484" s="148"/>
      <c r="AL484" s="148"/>
      <c r="AM484" s="148"/>
      <c r="AN484" s="149"/>
      <c r="AO484" s="150"/>
      <c r="AP484" s="76"/>
      <c r="AQ484" s="76"/>
      <c r="AR484" s="128"/>
      <c r="AS484" s="108">
        <f t="shared" si="394"/>
        <v>1</v>
      </c>
      <c r="AT484" s="249">
        <f t="shared" si="395"/>
        <v>0.92361054435648415</v>
      </c>
      <c r="AU484" s="249">
        <f t="shared" si="396"/>
        <v>8.1612666285807559E-2</v>
      </c>
      <c r="AV484" s="249">
        <f t="shared" si="397"/>
        <v>0</v>
      </c>
    </row>
    <row r="485" spans="1:48" outlineLevel="1" x14ac:dyDescent="0.25">
      <c r="A485" s="4" t="s">
        <v>658</v>
      </c>
      <c r="B485" s="75" t="s">
        <v>982</v>
      </c>
      <c r="C485" s="25"/>
      <c r="D485" s="92">
        <v>1</v>
      </c>
      <c r="E485" s="93">
        <v>382</v>
      </c>
      <c r="F485" s="93">
        <f>D485*E485</f>
        <v>382</v>
      </c>
      <c r="G485" s="74">
        <f t="shared" si="421"/>
        <v>0.39999999999997726</v>
      </c>
      <c r="H485" s="95">
        <f t="shared" si="414"/>
        <v>382.4</v>
      </c>
      <c r="I485" s="112"/>
      <c r="J485" s="57"/>
      <c r="K485" s="57"/>
      <c r="L485" s="57"/>
      <c r="M485" s="57"/>
      <c r="N485" s="57"/>
      <c r="O485" s="57"/>
      <c r="P485" s="68"/>
      <c r="Q485" s="58">
        <v>382.4</v>
      </c>
      <c r="R485" s="93">
        <v>382</v>
      </c>
      <c r="S485" s="74">
        <f t="shared" si="402"/>
        <v>0.39999999999997726</v>
      </c>
      <c r="T485" s="95">
        <f t="shared" si="403"/>
        <v>382.4</v>
      </c>
      <c r="U485" s="112"/>
      <c r="V485" s="57"/>
      <c r="W485" s="57"/>
      <c r="X485" s="57"/>
      <c r="Y485" s="57"/>
      <c r="Z485" s="57"/>
      <c r="AA485" s="57"/>
      <c r="AB485" s="68"/>
      <c r="AC485" s="58">
        <v>382.4</v>
      </c>
      <c r="AD485" s="170"/>
      <c r="AE485" s="89">
        <f t="shared" si="404"/>
        <v>0</v>
      </c>
      <c r="AF485" s="216">
        <f t="shared" si="405"/>
        <v>0</v>
      </c>
      <c r="AG485" s="147"/>
      <c r="AH485" s="148"/>
      <c r="AI485" s="148"/>
      <c r="AJ485" s="148"/>
      <c r="AK485" s="148"/>
      <c r="AL485" s="148"/>
      <c r="AM485" s="148"/>
      <c r="AN485" s="149"/>
      <c r="AO485" s="150"/>
      <c r="AP485" s="76"/>
      <c r="AQ485" s="76"/>
      <c r="AR485" s="128"/>
      <c r="AS485" s="108">
        <f t="shared" si="394"/>
        <v>1</v>
      </c>
      <c r="AT485" s="249">
        <f t="shared" si="395"/>
        <v>1</v>
      </c>
      <c r="AU485" s="249">
        <f t="shared" si="396"/>
        <v>0</v>
      </c>
      <c r="AV485" s="249">
        <f t="shared" si="397"/>
        <v>0</v>
      </c>
    </row>
    <row r="486" spans="1:48" outlineLevel="1" x14ac:dyDescent="0.25">
      <c r="A486" s="4" t="s">
        <v>659</v>
      </c>
      <c r="B486" s="75" t="s">
        <v>983</v>
      </c>
      <c r="C486" s="25"/>
      <c r="D486" s="92">
        <v>1</v>
      </c>
      <c r="E486" s="93">
        <v>382</v>
      </c>
      <c r="F486" s="93">
        <f>D486*E486</f>
        <v>382</v>
      </c>
      <c r="G486" s="74">
        <f t="shared" si="421"/>
        <v>0</v>
      </c>
      <c r="H486" s="95">
        <f t="shared" si="414"/>
        <v>382</v>
      </c>
      <c r="I486" s="112"/>
      <c r="J486" s="57"/>
      <c r="K486" s="57"/>
      <c r="L486" s="57"/>
      <c r="M486" s="57"/>
      <c r="N486" s="57"/>
      <c r="O486" s="57"/>
      <c r="P486" s="68"/>
      <c r="Q486" s="58">
        <v>382</v>
      </c>
      <c r="R486" s="93">
        <v>382</v>
      </c>
      <c r="S486" s="74">
        <f t="shared" si="402"/>
        <v>0</v>
      </c>
      <c r="T486" s="95">
        <f t="shared" si="403"/>
        <v>382</v>
      </c>
      <c r="U486" s="112"/>
      <c r="V486" s="57"/>
      <c r="W486" s="57"/>
      <c r="X486" s="57"/>
      <c r="Y486" s="57"/>
      <c r="Z486" s="57"/>
      <c r="AA486" s="57"/>
      <c r="AB486" s="68"/>
      <c r="AC486" s="58">
        <v>382</v>
      </c>
      <c r="AD486" s="170">
        <v>596.82500000000005</v>
      </c>
      <c r="AE486" s="89">
        <f t="shared" si="404"/>
        <v>-596.82500000000005</v>
      </c>
      <c r="AF486" s="216">
        <f t="shared" si="405"/>
        <v>0</v>
      </c>
      <c r="AG486" s="147"/>
      <c r="AH486" s="148"/>
      <c r="AI486" s="148"/>
      <c r="AJ486" s="148"/>
      <c r="AK486" s="148"/>
      <c r="AL486" s="148"/>
      <c r="AM486" s="148"/>
      <c r="AN486" s="149"/>
      <c r="AO486" s="150"/>
      <c r="AP486" s="76"/>
      <c r="AQ486" s="76"/>
      <c r="AR486" s="128"/>
      <c r="AS486" s="108">
        <f t="shared" si="394"/>
        <v>1</v>
      </c>
      <c r="AT486" s="249">
        <f t="shared" si="395"/>
        <v>1</v>
      </c>
      <c r="AU486" s="249">
        <f t="shared" si="396"/>
        <v>1.562369109947644</v>
      </c>
      <c r="AV486" s="249">
        <f t="shared" si="397"/>
        <v>0</v>
      </c>
    </row>
    <row r="487" spans="1:48" outlineLevel="1" x14ac:dyDescent="0.25">
      <c r="A487" s="4" t="s">
        <v>1142</v>
      </c>
      <c r="B487" s="75" t="s">
        <v>47</v>
      </c>
      <c r="C487" s="25"/>
      <c r="D487" s="92"/>
      <c r="E487" s="93"/>
      <c r="F487" s="93">
        <f>D487*E487</f>
        <v>0</v>
      </c>
      <c r="G487" s="74">
        <f t="shared" si="421"/>
        <v>0</v>
      </c>
      <c r="H487" s="95">
        <f t="shared" si="414"/>
        <v>0</v>
      </c>
      <c r="I487" s="112"/>
      <c r="J487" s="57"/>
      <c r="K487" s="57"/>
      <c r="L487" s="57"/>
      <c r="M487" s="57"/>
      <c r="N487" s="57"/>
      <c r="O487" s="57"/>
      <c r="P487" s="68"/>
      <c r="Q487" s="58"/>
      <c r="R487" s="93">
        <v>0</v>
      </c>
      <c r="S487" s="74">
        <f t="shared" si="402"/>
        <v>0</v>
      </c>
      <c r="T487" s="95">
        <f t="shared" si="403"/>
        <v>0</v>
      </c>
      <c r="U487" s="112"/>
      <c r="V487" s="57"/>
      <c r="W487" s="57"/>
      <c r="X487" s="57"/>
      <c r="Y487" s="57"/>
      <c r="Z487" s="57"/>
      <c r="AA487" s="57"/>
      <c r="AB487" s="68"/>
      <c r="AC487" s="58"/>
      <c r="AD487" s="170">
        <f>P487*Q487</f>
        <v>0</v>
      </c>
      <c r="AE487" s="89">
        <f t="shared" si="404"/>
        <v>0</v>
      </c>
      <c r="AF487" s="216">
        <f t="shared" si="405"/>
        <v>0</v>
      </c>
      <c r="AG487" s="147"/>
      <c r="AH487" s="148"/>
      <c r="AI487" s="148"/>
      <c r="AJ487" s="148"/>
      <c r="AK487" s="148"/>
      <c r="AL487" s="148"/>
      <c r="AM487" s="148"/>
      <c r="AN487" s="149"/>
      <c r="AO487" s="150"/>
      <c r="AP487" s="76"/>
      <c r="AQ487" s="76"/>
      <c r="AR487" s="128"/>
      <c r="AS487" s="108"/>
      <c r="AT487" s="249"/>
      <c r="AU487" s="249"/>
      <c r="AV487" s="249"/>
    </row>
    <row r="488" spans="1:48" s="280" customFormat="1" ht="15.75" x14ac:dyDescent="0.25">
      <c r="A488" s="270" t="s">
        <v>661</v>
      </c>
      <c r="B488" s="271" t="s">
        <v>250</v>
      </c>
      <c r="C488" s="272"/>
      <c r="D488" s="273"/>
      <c r="E488" s="274"/>
      <c r="F488" s="264">
        <f>SUM(F489:F490)</f>
        <v>900</v>
      </c>
      <c r="G488" s="265">
        <f t="shared" si="421"/>
        <v>0</v>
      </c>
      <c r="H488" s="275">
        <f t="shared" si="414"/>
        <v>900</v>
      </c>
      <c r="I488" s="267">
        <f>SUM(I489:I490)</f>
        <v>0</v>
      </c>
      <c r="J488" s="268">
        <f>SUM(J489:J490)</f>
        <v>900</v>
      </c>
      <c r="K488" s="268">
        <f>SUM(K489:K490)</f>
        <v>0</v>
      </c>
      <c r="L488" s="268"/>
      <c r="M488" s="268"/>
      <c r="N488" s="268">
        <f>SUM(N489:N490)</f>
        <v>0</v>
      </c>
      <c r="O488" s="268">
        <f>SUM(O489:O490)</f>
        <v>0</v>
      </c>
      <c r="P488" s="268">
        <f>SUM(P489:P490)</f>
        <v>0</v>
      </c>
      <c r="Q488" s="269">
        <f>SUM(Q489:Q490)</f>
        <v>0</v>
      </c>
      <c r="R488" s="264">
        <f>SUM(R489:R491)</f>
        <v>900</v>
      </c>
      <c r="S488" s="265">
        <f t="shared" si="402"/>
        <v>29276</v>
      </c>
      <c r="T488" s="275">
        <f t="shared" si="403"/>
        <v>30176</v>
      </c>
      <c r="U488" s="267">
        <f>SUM(U489:U491)</f>
        <v>0</v>
      </c>
      <c r="V488" s="267">
        <f t="shared" ref="V488:AC488" si="425">SUM(V489:V491)</f>
        <v>900</v>
      </c>
      <c r="W488" s="267">
        <f t="shared" si="425"/>
        <v>29276</v>
      </c>
      <c r="X488" s="267">
        <f t="shared" si="425"/>
        <v>0</v>
      </c>
      <c r="Y488" s="267">
        <f t="shared" si="425"/>
        <v>0</v>
      </c>
      <c r="Z488" s="267">
        <f t="shared" si="425"/>
        <v>0</v>
      </c>
      <c r="AA488" s="267">
        <f t="shared" si="425"/>
        <v>0</v>
      </c>
      <c r="AB488" s="267">
        <f t="shared" si="425"/>
        <v>0</v>
      </c>
      <c r="AC488" s="267">
        <f t="shared" si="425"/>
        <v>0</v>
      </c>
      <c r="AD488" s="264">
        <f>SUM(AD489:AD491)</f>
        <v>906.62</v>
      </c>
      <c r="AE488" s="265">
        <f t="shared" si="404"/>
        <v>-906.62</v>
      </c>
      <c r="AF488" s="266">
        <f t="shared" si="405"/>
        <v>0</v>
      </c>
      <c r="AG488" s="267">
        <f>SUM(AG489:AG491)</f>
        <v>0</v>
      </c>
      <c r="AH488" s="267">
        <f t="shared" ref="AH488:AO488" si="426">SUM(AH489:AH491)</f>
        <v>0</v>
      </c>
      <c r="AI488" s="267">
        <f t="shared" si="426"/>
        <v>0</v>
      </c>
      <c r="AJ488" s="267">
        <f t="shared" si="426"/>
        <v>0</v>
      </c>
      <c r="AK488" s="267">
        <f t="shared" si="426"/>
        <v>0</v>
      </c>
      <c r="AL488" s="267">
        <f t="shared" si="426"/>
        <v>0</v>
      </c>
      <c r="AM488" s="267">
        <f t="shared" si="426"/>
        <v>0</v>
      </c>
      <c r="AN488" s="267">
        <f t="shared" si="426"/>
        <v>0</v>
      </c>
      <c r="AO488" s="267">
        <f t="shared" si="426"/>
        <v>0</v>
      </c>
      <c r="AP488" s="276">
        <v>900</v>
      </c>
      <c r="AQ488" s="276">
        <v>900</v>
      </c>
      <c r="AR488" s="277">
        <f>AQ488*100/AP488</f>
        <v>100</v>
      </c>
      <c r="AS488" s="278">
        <f t="shared" si="394"/>
        <v>1</v>
      </c>
      <c r="AT488" s="279">
        <f t="shared" si="395"/>
        <v>33.528888888888886</v>
      </c>
      <c r="AU488" s="279">
        <f t="shared" si="396"/>
        <v>1.0073555555555556</v>
      </c>
      <c r="AV488" s="279">
        <f t="shared" si="397"/>
        <v>0</v>
      </c>
    </row>
    <row r="489" spans="1:48" outlineLevel="1" x14ac:dyDescent="0.25">
      <c r="A489" s="4" t="s">
        <v>662</v>
      </c>
      <c r="B489" s="75" t="s">
        <v>866</v>
      </c>
      <c r="C489" s="25"/>
      <c r="D489" s="92">
        <v>1</v>
      </c>
      <c r="E489" s="93">
        <v>900</v>
      </c>
      <c r="F489" s="93">
        <f>D489*E489</f>
        <v>900</v>
      </c>
      <c r="G489" s="74">
        <f t="shared" si="421"/>
        <v>0</v>
      </c>
      <c r="H489" s="95">
        <f t="shared" si="414"/>
        <v>900</v>
      </c>
      <c r="I489" s="112"/>
      <c r="J489" s="57">
        <v>900</v>
      </c>
      <c r="K489" s="57"/>
      <c r="L489" s="57"/>
      <c r="M489" s="57"/>
      <c r="N489" s="57"/>
      <c r="O489" s="57"/>
      <c r="P489" s="68"/>
      <c r="Q489" s="58"/>
      <c r="R489" s="93">
        <v>900</v>
      </c>
      <c r="S489" s="74">
        <f t="shared" si="402"/>
        <v>0</v>
      </c>
      <c r="T489" s="95">
        <f t="shared" si="403"/>
        <v>900</v>
      </c>
      <c r="U489" s="112"/>
      <c r="V489" s="57">
        <v>900</v>
      </c>
      <c r="W489" s="57"/>
      <c r="X489" s="57"/>
      <c r="Y489" s="57"/>
      <c r="Z489" s="57"/>
      <c r="AA489" s="57"/>
      <c r="AB489" s="68"/>
      <c r="AC489" s="58"/>
      <c r="AD489" s="170">
        <v>465.52</v>
      </c>
      <c r="AE489" s="89">
        <f t="shared" si="404"/>
        <v>-465.52</v>
      </c>
      <c r="AF489" s="216">
        <f t="shared" si="405"/>
        <v>0</v>
      </c>
      <c r="AG489" s="147"/>
      <c r="AH489" s="148"/>
      <c r="AI489" s="148"/>
      <c r="AJ489" s="148"/>
      <c r="AK489" s="148"/>
      <c r="AL489" s="148"/>
      <c r="AM489" s="148"/>
      <c r="AN489" s="149"/>
      <c r="AO489" s="150"/>
      <c r="AP489" s="76"/>
      <c r="AQ489" s="76"/>
      <c r="AR489" s="128"/>
      <c r="AS489" s="108">
        <f t="shared" si="394"/>
        <v>1</v>
      </c>
      <c r="AT489" s="249">
        <f t="shared" si="395"/>
        <v>1</v>
      </c>
      <c r="AU489" s="249">
        <f t="shared" si="396"/>
        <v>0.5172444444444444</v>
      </c>
      <c r="AV489" s="249">
        <f t="shared" si="397"/>
        <v>0</v>
      </c>
    </row>
    <row r="490" spans="1:48" outlineLevel="1" x14ac:dyDescent="0.25">
      <c r="A490" s="4" t="s">
        <v>663</v>
      </c>
      <c r="B490" s="75" t="s">
        <v>1024</v>
      </c>
      <c r="C490" s="25"/>
      <c r="D490" s="92"/>
      <c r="E490" s="93"/>
      <c r="F490" s="93">
        <f>D490*E490</f>
        <v>0</v>
      </c>
      <c r="G490" s="74">
        <f t="shared" si="421"/>
        <v>0</v>
      </c>
      <c r="H490" s="95">
        <f t="shared" si="414"/>
        <v>0</v>
      </c>
      <c r="I490" s="112"/>
      <c r="J490" s="57"/>
      <c r="K490" s="57"/>
      <c r="L490" s="57"/>
      <c r="M490" s="57"/>
      <c r="N490" s="57"/>
      <c r="O490" s="57"/>
      <c r="P490" s="68"/>
      <c r="Q490" s="58"/>
      <c r="R490" s="93">
        <f>P490*Q490</f>
        <v>0</v>
      </c>
      <c r="S490" s="74">
        <f t="shared" si="402"/>
        <v>29276</v>
      </c>
      <c r="T490" s="95">
        <f t="shared" si="403"/>
        <v>29276</v>
      </c>
      <c r="U490" s="112"/>
      <c r="V490" s="57"/>
      <c r="W490" s="57">
        <v>29276</v>
      </c>
      <c r="X490" s="57"/>
      <c r="Y490" s="57"/>
      <c r="Z490" s="57"/>
      <c r="AA490" s="57"/>
      <c r="AB490" s="68"/>
      <c r="AC490" s="58"/>
      <c r="AD490" s="170">
        <v>441.1</v>
      </c>
      <c r="AE490" s="89">
        <f t="shared" si="404"/>
        <v>-441.1</v>
      </c>
      <c r="AF490" s="216">
        <f t="shared" si="405"/>
        <v>0</v>
      </c>
      <c r="AG490" s="147"/>
      <c r="AH490" s="148"/>
      <c r="AI490" s="148"/>
      <c r="AJ490" s="148"/>
      <c r="AK490" s="148"/>
      <c r="AL490" s="148"/>
      <c r="AM490" s="148"/>
      <c r="AN490" s="149"/>
      <c r="AO490" s="150"/>
      <c r="AP490" s="76"/>
      <c r="AQ490" s="76"/>
      <c r="AR490" s="128"/>
      <c r="AS490" s="108"/>
      <c r="AT490" s="249"/>
      <c r="AU490" s="249"/>
      <c r="AV490" s="249"/>
    </row>
    <row r="491" spans="1:48" outlineLevel="1" x14ac:dyDescent="0.25">
      <c r="A491" s="4" t="s">
        <v>1143</v>
      </c>
      <c r="B491" s="75" t="s">
        <v>47</v>
      </c>
      <c r="C491" s="25"/>
      <c r="D491" s="92"/>
      <c r="E491" s="93"/>
      <c r="F491" s="93"/>
      <c r="G491" s="74"/>
      <c r="H491" s="95"/>
      <c r="I491" s="112"/>
      <c r="J491" s="57"/>
      <c r="K491" s="57"/>
      <c r="L491" s="57"/>
      <c r="M491" s="57"/>
      <c r="N491" s="57"/>
      <c r="O491" s="57"/>
      <c r="P491" s="68"/>
      <c r="Q491" s="58"/>
      <c r="R491" s="93"/>
      <c r="S491" s="74"/>
      <c r="T491" s="95">
        <f t="shared" si="403"/>
        <v>0</v>
      </c>
      <c r="U491" s="112"/>
      <c r="V491" s="57"/>
      <c r="W491" s="57"/>
      <c r="X491" s="57"/>
      <c r="Y491" s="57"/>
      <c r="Z491" s="57"/>
      <c r="AA491" s="57"/>
      <c r="AB491" s="68"/>
      <c r="AC491" s="58"/>
      <c r="AD491" s="170"/>
      <c r="AE491" s="89">
        <f t="shared" si="404"/>
        <v>0</v>
      </c>
      <c r="AF491" s="216">
        <f t="shared" si="405"/>
        <v>0</v>
      </c>
      <c r="AG491" s="147"/>
      <c r="AH491" s="148"/>
      <c r="AI491" s="148"/>
      <c r="AJ491" s="148"/>
      <c r="AK491" s="148"/>
      <c r="AL491" s="148"/>
      <c r="AM491" s="148"/>
      <c r="AN491" s="149"/>
      <c r="AO491" s="150"/>
      <c r="AP491" s="176"/>
      <c r="AQ491" s="176"/>
      <c r="AR491" s="177"/>
      <c r="AS491" s="108"/>
      <c r="AT491" s="249"/>
      <c r="AU491" s="249"/>
      <c r="AV491" s="249"/>
    </row>
    <row r="492" spans="1:48" s="280" customFormat="1" ht="15.75" x14ac:dyDescent="0.25">
      <c r="A492" s="270" t="s">
        <v>664</v>
      </c>
      <c r="B492" s="271" t="s">
        <v>495</v>
      </c>
      <c r="C492" s="272"/>
      <c r="D492" s="273"/>
      <c r="E492" s="264"/>
      <c r="F492" s="264">
        <f>SUM(F493:F493)</f>
        <v>33021</v>
      </c>
      <c r="G492" s="265">
        <f t="shared" si="421"/>
        <v>0.44999999999708962</v>
      </c>
      <c r="H492" s="275">
        <f t="shared" si="414"/>
        <v>33021.449999999997</v>
      </c>
      <c r="I492" s="267">
        <f t="shared" ref="I492:AO492" si="427">SUM(I493:I493)</f>
        <v>0</v>
      </c>
      <c r="J492" s="268">
        <f t="shared" si="427"/>
        <v>0</v>
      </c>
      <c r="K492" s="268">
        <f t="shared" si="427"/>
        <v>16514.399999999998</v>
      </c>
      <c r="L492" s="268">
        <f t="shared" si="427"/>
        <v>16507.05</v>
      </c>
      <c r="M492" s="268">
        <f t="shared" si="427"/>
        <v>0</v>
      </c>
      <c r="N492" s="268">
        <f t="shared" si="427"/>
        <v>0</v>
      </c>
      <c r="O492" s="268">
        <f t="shared" si="427"/>
        <v>0</v>
      </c>
      <c r="P492" s="268">
        <f t="shared" si="427"/>
        <v>0</v>
      </c>
      <c r="Q492" s="269">
        <f t="shared" si="427"/>
        <v>0</v>
      </c>
      <c r="R492" s="264">
        <f>SUM(R493:R493)</f>
        <v>33021</v>
      </c>
      <c r="S492" s="265">
        <f t="shared" si="402"/>
        <v>-3670.0059999999976</v>
      </c>
      <c r="T492" s="275">
        <f t="shared" si="403"/>
        <v>29350.994000000002</v>
      </c>
      <c r="U492" s="267">
        <f t="shared" si="427"/>
        <v>0</v>
      </c>
      <c r="V492" s="268">
        <f t="shared" si="427"/>
        <v>0</v>
      </c>
      <c r="W492" s="268">
        <f t="shared" si="427"/>
        <v>12843.944000000003</v>
      </c>
      <c r="X492" s="268">
        <f t="shared" si="427"/>
        <v>16507.05</v>
      </c>
      <c r="Y492" s="268">
        <f t="shared" si="427"/>
        <v>0</v>
      </c>
      <c r="Z492" s="268">
        <f t="shared" si="427"/>
        <v>0</v>
      </c>
      <c r="AA492" s="268">
        <f t="shared" si="427"/>
        <v>0</v>
      </c>
      <c r="AB492" s="268">
        <f t="shared" si="427"/>
        <v>0</v>
      </c>
      <c r="AC492" s="269">
        <f t="shared" si="427"/>
        <v>0</v>
      </c>
      <c r="AD492" s="264">
        <f>SUM(AD493:AD493)</f>
        <v>0</v>
      </c>
      <c r="AE492" s="265">
        <f t="shared" si="404"/>
        <v>0</v>
      </c>
      <c r="AF492" s="266">
        <f t="shared" si="405"/>
        <v>0</v>
      </c>
      <c r="AG492" s="267">
        <f t="shared" si="427"/>
        <v>0</v>
      </c>
      <c r="AH492" s="268">
        <f t="shared" si="427"/>
        <v>0</v>
      </c>
      <c r="AI492" s="268">
        <f t="shared" si="427"/>
        <v>0</v>
      </c>
      <c r="AJ492" s="268">
        <f t="shared" si="427"/>
        <v>0</v>
      </c>
      <c r="AK492" s="268">
        <f t="shared" si="427"/>
        <v>0</v>
      </c>
      <c r="AL492" s="268">
        <f t="shared" si="427"/>
        <v>0</v>
      </c>
      <c r="AM492" s="268">
        <f t="shared" si="427"/>
        <v>0</v>
      </c>
      <c r="AN492" s="268">
        <f t="shared" si="427"/>
        <v>0</v>
      </c>
      <c r="AO492" s="269">
        <f t="shared" si="427"/>
        <v>0</v>
      </c>
      <c r="AP492" s="276">
        <v>35280</v>
      </c>
      <c r="AQ492" s="276">
        <v>35279.99</v>
      </c>
      <c r="AR492" s="277">
        <f>AQ492*100/AP492</f>
        <v>99.999971655328793</v>
      </c>
      <c r="AS492" s="278">
        <f t="shared" si="394"/>
        <v>1</v>
      </c>
      <c r="AT492" s="279">
        <f t="shared" si="395"/>
        <v>0.88884631050423302</v>
      </c>
      <c r="AU492" s="279">
        <f t="shared" si="396"/>
        <v>0</v>
      </c>
      <c r="AV492" s="279">
        <f t="shared" si="397"/>
        <v>0</v>
      </c>
    </row>
    <row r="493" spans="1:48" outlineLevel="1" x14ac:dyDescent="0.25">
      <c r="A493" s="4" t="s">
        <v>665</v>
      </c>
      <c r="B493" s="75" t="s">
        <v>495</v>
      </c>
      <c r="C493" s="25"/>
      <c r="D493" s="92">
        <v>1</v>
      </c>
      <c r="E493" s="93">
        <v>33021</v>
      </c>
      <c r="F493" s="93">
        <f>D493*E493</f>
        <v>33021</v>
      </c>
      <c r="G493" s="74">
        <f t="shared" si="421"/>
        <v>0.44999999999708962</v>
      </c>
      <c r="H493" s="95">
        <f t="shared" si="414"/>
        <v>33021.449999999997</v>
      </c>
      <c r="I493" s="112"/>
      <c r="J493" s="57"/>
      <c r="K493" s="57">
        <f>+(59185+50911)*0.15</f>
        <v>16514.399999999998</v>
      </c>
      <c r="L493" s="57">
        <f>+(26659+83388)*0.15</f>
        <v>16507.05</v>
      </c>
      <c r="M493" s="57"/>
      <c r="N493" s="57"/>
      <c r="O493" s="57"/>
      <c r="P493" s="68"/>
      <c r="Q493" s="58"/>
      <c r="R493" s="93">
        <v>33021</v>
      </c>
      <c r="S493" s="74">
        <f t="shared" si="402"/>
        <v>-3670.0059999999976</v>
      </c>
      <c r="T493" s="95">
        <f t="shared" si="403"/>
        <v>29350.994000000002</v>
      </c>
      <c r="U493" s="112"/>
      <c r="V493" s="57"/>
      <c r="W493" s="57">
        <f>+(59185+50911)*0.15*0.76+82522-82229</f>
        <v>12843.944000000003</v>
      </c>
      <c r="X493" s="57">
        <f>+(26659+83388)*0.15</f>
        <v>16507.05</v>
      </c>
      <c r="Y493" s="57"/>
      <c r="Z493" s="57"/>
      <c r="AA493" s="57"/>
      <c r="AB493" s="68"/>
      <c r="AC493" s="58"/>
      <c r="AD493" s="170">
        <f>P493*Q493</f>
        <v>0</v>
      </c>
      <c r="AE493" s="89">
        <f t="shared" si="404"/>
        <v>0</v>
      </c>
      <c r="AF493" s="216">
        <f t="shared" si="405"/>
        <v>0</v>
      </c>
      <c r="AG493" s="147"/>
      <c r="AH493" s="148"/>
      <c r="AI493" s="148"/>
      <c r="AJ493" s="148"/>
      <c r="AK493" s="148"/>
      <c r="AL493" s="148"/>
      <c r="AM493" s="148"/>
      <c r="AN493" s="149"/>
      <c r="AO493" s="150"/>
      <c r="AP493" s="76"/>
      <c r="AQ493" s="76"/>
      <c r="AR493" s="128"/>
      <c r="AS493" s="108">
        <f t="shared" si="394"/>
        <v>1</v>
      </c>
      <c r="AT493" s="249">
        <f t="shared" si="395"/>
        <v>0.88884631050423302</v>
      </c>
      <c r="AU493" s="249">
        <f t="shared" si="396"/>
        <v>0</v>
      </c>
      <c r="AV493" s="249">
        <f t="shared" si="397"/>
        <v>0</v>
      </c>
    </row>
    <row r="494" spans="1:48" s="2" customFormat="1" ht="21" x14ac:dyDescent="0.35">
      <c r="A494" s="8" t="s">
        <v>456</v>
      </c>
      <c r="B494" s="12" t="s">
        <v>437</v>
      </c>
      <c r="C494" s="21"/>
      <c r="D494" s="22"/>
      <c r="E494" s="15"/>
      <c r="F494" s="84">
        <f>F495+F500+F504+F507+F512</f>
        <v>16625</v>
      </c>
      <c r="G494" s="89">
        <f t="shared" si="421"/>
        <v>0</v>
      </c>
      <c r="H494" s="16">
        <f t="shared" si="414"/>
        <v>16625</v>
      </c>
      <c r="I494" s="51">
        <f t="shared" ref="I494:Q494" si="428">I495+I500+I504+I507+I512</f>
        <v>2950</v>
      </c>
      <c r="J494" s="51">
        <f t="shared" si="428"/>
        <v>11675</v>
      </c>
      <c r="K494" s="51">
        <f t="shared" si="428"/>
        <v>0</v>
      </c>
      <c r="L494" s="51">
        <f t="shared" si="428"/>
        <v>0</v>
      </c>
      <c r="M494" s="51">
        <f t="shared" si="428"/>
        <v>0</v>
      </c>
      <c r="N494" s="51">
        <f t="shared" si="428"/>
        <v>1000</v>
      </c>
      <c r="O494" s="51">
        <f t="shared" si="428"/>
        <v>0</v>
      </c>
      <c r="P494" s="51">
        <f t="shared" si="428"/>
        <v>0</v>
      </c>
      <c r="Q494" s="59">
        <f t="shared" si="428"/>
        <v>1000</v>
      </c>
      <c r="R494" s="84">
        <f>R495+R500+R504+R507+R512</f>
        <v>16625</v>
      </c>
      <c r="S494" s="89">
        <f t="shared" si="402"/>
        <v>0</v>
      </c>
      <c r="T494" s="16">
        <f t="shared" si="403"/>
        <v>16625</v>
      </c>
      <c r="U494" s="51">
        <f t="shared" ref="U494:AC494" si="429">U495+U500+U504+U507+U512</f>
        <v>2950</v>
      </c>
      <c r="V494" s="51">
        <f t="shared" si="429"/>
        <v>11675</v>
      </c>
      <c r="W494" s="51">
        <f t="shared" si="429"/>
        <v>0</v>
      </c>
      <c r="X494" s="51">
        <f t="shared" si="429"/>
        <v>0</v>
      </c>
      <c r="Y494" s="51">
        <f t="shared" si="429"/>
        <v>0</v>
      </c>
      <c r="Z494" s="51">
        <f t="shared" si="429"/>
        <v>1000</v>
      </c>
      <c r="AA494" s="51">
        <f t="shared" si="429"/>
        <v>0</v>
      </c>
      <c r="AB494" s="51">
        <f t="shared" si="429"/>
        <v>0</v>
      </c>
      <c r="AC494" s="59">
        <f t="shared" si="429"/>
        <v>1000</v>
      </c>
      <c r="AD494" s="255">
        <f>AD495+AD500+AD504+AD507+AD512</f>
        <v>950.73</v>
      </c>
      <c r="AE494" s="256">
        <f t="shared" si="404"/>
        <v>-950.73</v>
      </c>
      <c r="AF494" s="257">
        <f t="shared" si="405"/>
        <v>0</v>
      </c>
      <c r="AG494" s="260">
        <f t="shared" ref="AG494:AO494" si="430">AG495+AG500+AG504+AG507+AG512</f>
        <v>0</v>
      </c>
      <c r="AH494" s="260">
        <f t="shared" si="430"/>
        <v>0</v>
      </c>
      <c r="AI494" s="260">
        <f t="shared" si="430"/>
        <v>0</v>
      </c>
      <c r="AJ494" s="260">
        <f t="shared" si="430"/>
        <v>0</v>
      </c>
      <c r="AK494" s="260">
        <f t="shared" si="430"/>
        <v>0</v>
      </c>
      <c r="AL494" s="260">
        <f t="shared" si="430"/>
        <v>0</v>
      </c>
      <c r="AM494" s="260">
        <f t="shared" si="430"/>
        <v>0</v>
      </c>
      <c r="AN494" s="260">
        <f t="shared" si="430"/>
        <v>0</v>
      </c>
      <c r="AO494" s="261">
        <f t="shared" si="430"/>
        <v>0</v>
      </c>
      <c r="AP494" s="32">
        <f>+AP495+AP500+AP504+AP507+AP512</f>
        <v>10675</v>
      </c>
      <c r="AQ494" s="32">
        <f>AQ495+AQ500+AQ504+AQ507+AQ512</f>
        <v>14495.44</v>
      </c>
      <c r="AR494" s="126">
        <f>AQ494*100/AP494</f>
        <v>135.78866510538643</v>
      </c>
      <c r="AS494" s="108">
        <f t="shared" si="394"/>
        <v>1</v>
      </c>
      <c r="AT494" s="249">
        <f t="shared" si="395"/>
        <v>1</v>
      </c>
      <c r="AU494" s="249">
        <f t="shared" si="396"/>
        <v>5.7186766917293234E-2</v>
      </c>
      <c r="AV494" s="249">
        <f t="shared" si="397"/>
        <v>0</v>
      </c>
    </row>
    <row r="495" spans="1:48" s="280" customFormat="1" ht="15.75" x14ac:dyDescent="0.25">
      <c r="A495" s="270" t="s">
        <v>458</v>
      </c>
      <c r="B495" s="271" t="s">
        <v>265</v>
      </c>
      <c r="C495" s="272"/>
      <c r="D495" s="273"/>
      <c r="E495" s="274"/>
      <c r="F495" s="264">
        <f>SUM(F496:F499)</f>
        <v>950</v>
      </c>
      <c r="G495" s="265">
        <f t="shared" si="421"/>
        <v>0</v>
      </c>
      <c r="H495" s="275">
        <f t="shared" si="414"/>
        <v>950</v>
      </c>
      <c r="I495" s="267">
        <f t="shared" ref="I495:Q495" si="431">SUM(I496:I499)</f>
        <v>750</v>
      </c>
      <c r="J495" s="268">
        <f t="shared" si="431"/>
        <v>200</v>
      </c>
      <c r="K495" s="268">
        <f t="shared" si="431"/>
        <v>0</v>
      </c>
      <c r="L495" s="268">
        <f t="shared" si="431"/>
        <v>0</v>
      </c>
      <c r="M495" s="268">
        <f>SUM(M496:M499)</f>
        <v>0</v>
      </c>
      <c r="N495" s="268">
        <f t="shared" si="431"/>
        <v>0</v>
      </c>
      <c r="O495" s="268">
        <f t="shared" si="431"/>
        <v>0</v>
      </c>
      <c r="P495" s="268">
        <f t="shared" si="431"/>
        <v>0</v>
      </c>
      <c r="Q495" s="269">
        <f t="shared" si="431"/>
        <v>0</v>
      </c>
      <c r="R495" s="264">
        <f>SUM(R496:R499)</f>
        <v>950</v>
      </c>
      <c r="S495" s="265">
        <f t="shared" si="402"/>
        <v>0</v>
      </c>
      <c r="T495" s="275">
        <f t="shared" si="403"/>
        <v>950</v>
      </c>
      <c r="U495" s="267">
        <f t="shared" ref="U495:AD495" si="432">SUM(U496:U499)</f>
        <v>750</v>
      </c>
      <c r="V495" s="268">
        <f t="shared" si="432"/>
        <v>200</v>
      </c>
      <c r="W495" s="268">
        <f t="shared" si="432"/>
        <v>0</v>
      </c>
      <c r="X495" s="268">
        <f t="shared" si="432"/>
        <v>0</v>
      </c>
      <c r="Y495" s="268">
        <f t="shared" si="432"/>
        <v>0</v>
      </c>
      <c r="Z495" s="268">
        <f t="shared" si="432"/>
        <v>0</v>
      </c>
      <c r="AA495" s="268">
        <f t="shared" si="432"/>
        <v>0</v>
      </c>
      <c r="AB495" s="268">
        <f t="shared" si="432"/>
        <v>0</v>
      </c>
      <c r="AC495" s="269">
        <f t="shared" si="432"/>
        <v>0</v>
      </c>
      <c r="AD495" s="264">
        <f t="shared" si="432"/>
        <v>950.73</v>
      </c>
      <c r="AE495" s="265">
        <f t="shared" si="404"/>
        <v>-950.73</v>
      </c>
      <c r="AF495" s="266">
        <f t="shared" si="405"/>
        <v>0</v>
      </c>
      <c r="AG495" s="267">
        <f t="shared" ref="AG495:AO495" si="433">SUM(AG496:AG499)</f>
        <v>0</v>
      </c>
      <c r="AH495" s="268">
        <f t="shared" si="433"/>
        <v>0</v>
      </c>
      <c r="AI495" s="268">
        <f t="shared" si="433"/>
        <v>0</v>
      </c>
      <c r="AJ495" s="268">
        <f t="shared" si="433"/>
        <v>0</v>
      </c>
      <c r="AK495" s="268">
        <f t="shared" si="433"/>
        <v>0</v>
      </c>
      <c r="AL495" s="268">
        <f t="shared" si="433"/>
        <v>0</v>
      </c>
      <c r="AM495" s="268">
        <f t="shared" si="433"/>
        <v>0</v>
      </c>
      <c r="AN495" s="268">
        <f t="shared" si="433"/>
        <v>0</v>
      </c>
      <c r="AO495" s="269">
        <f t="shared" si="433"/>
        <v>0</v>
      </c>
      <c r="AP495" s="276">
        <v>600</v>
      </c>
      <c r="AQ495" s="276">
        <f>2569.64-460-184.95-888.16</f>
        <v>1036.5299999999997</v>
      </c>
      <c r="AR495" s="277">
        <f>AQ495*100/AP495</f>
        <v>172.75499999999994</v>
      </c>
      <c r="AS495" s="278">
        <f t="shared" si="394"/>
        <v>1</v>
      </c>
      <c r="AT495" s="279">
        <f t="shared" si="395"/>
        <v>1</v>
      </c>
      <c r="AU495" s="279">
        <f t="shared" si="396"/>
        <v>1.0007684210526315</v>
      </c>
      <c r="AV495" s="279">
        <f t="shared" si="397"/>
        <v>0</v>
      </c>
    </row>
    <row r="496" spans="1:48" outlineLevel="1" x14ac:dyDescent="0.25">
      <c r="A496" s="5" t="s">
        <v>459</v>
      </c>
      <c r="B496" s="75" t="s">
        <v>281</v>
      </c>
      <c r="C496" s="25"/>
      <c r="D496" s="92">
        <v>1</v>
      </c>
      <c r="E496" s="110">
        <v>200</v>
      </c>
      <c r="F496" s="93">
        <f>D496*E496</f>
        <v>200</v>
      </c>
      <c r="G496" s="74">
        <f t="shared" si="421"/>
        <v>0</v>
      </c>
      <c r="H496" s="95">
        <f t="shared" si="414"/>
        <v>200</v>
      </c>
      <c r="I496" s="112">
        <v>200</v>
      </c>
      <c r="J496" s="57"/>
      <c r="K496" s="57"/>
      <c r="L496" s="57"/>
      <c r="M496" s="57"/>
      <c r="N496" s="57"/>
      <c r="O496" s="57"/>
      <c r="P496" s="68"/>
      <c r="Q496" s="58"/>
      <c r="R496" s="93">
        <v>200</v>
      </c>
      <c r="S496" s="74">
        <f t="shared" si="402"/>
        <v>0</v>
      </c>
      <c r="T496" s="95">
        <f t="shared" si="403"/>
        <v>200</v>
      </c>
      <c r="U496" s="112">
        <v>200</v>
      </c>
      <c r="V496" s="57"/>
      <c r="W496" s="57"/>
      <c r="X496" s="57"/>
      <c r="Y496" s="57"/>
      <c r="Z496" s="57"/>
      <c r="AA496" s="57"/>
      <c r="AB496" s="68"/>
      <c r="AC496" s="58"/>
      <c r="AD496" s="170">
        <f>P496*Q496</f>
        <v>0</v>
      </c>
      <c r="AE496" s="89">
        <f t="shared" si="404"/>
        <v>0</v>
      </c>
      <c r="AF496" s="216">
        <f t="shared" si="405"/>
        <v>0</v>
      </c>
      <c r="AG496" s="147"/>
      <c r="AH496" s="148"/>
      <c r="AI496" s="148"/>
      <c r="AJ496" s="148"/>
      <c r="AK496" s="148"/>
      <c r="AL496" s="148"/>
      <c r="AM496" s="148"/>
      <c r="AN496" s="149"/>
      <c r="AO496" s="150"/>
      <c r="AP496" s="76"/>
      <c r="AQ496" s="76"/>
      <c r="AR496" s="128"/>
      <c r="AS496" s="108">
        <f t="shared" si="394"/>
        <v>1</v>
      </c>
      <c r="AT496" s="249">
        <f t="shared" si="395"/>
        <v>1</v>
      </c>
      <c r="AU496" s="249">
        <f t="shared" si="396"/>
        <v>0</v>
      </c>
      <c r="AV496" s="249">
        <f t="shared" si="397"/>
        <v>0</v>
      </c>
    </row>
    <row r="497" spans="1:48" outlineLevel="1" x14ac:dyDescent="0.25">
      <c r="A497" s="4" t="s">
        <v>460</v>
      </c>
      <c r="B497" s="75" t="s">
        <v>309</v>
      </c>
      <c r="C497" s="25"/>
      <c r="D497" s="92">
        <v>4</v>
      </c>
      <c r="E497" s="110">
        <v>100</v>
      </c>
      <c r="F497" s="93">
        <f>D497*E497</f>
        <v>400</v>
      </c>
      <c r="G497" s="74">
        <f t="shared" si="421"/>
        <v>0</v>
      </c>
      <c r="H497" s="95">
        <f t="shared" si="414"/>
        <v>400</v>
      </c>
      <c r="I497" s="112">
        <v>400</v>
      </c>
      <c r="J497" s="57"/>
      <c r="K497" s="57"/>
      <c r="L497" s="57"/>
      <c r="M497" s="57"/>
      <c r="N497" s="57"/>
      <c r="O497" s="57"/>
      <c r="P497" s="68"/>
      <c r="Q497" s="58"/>
      <c r="R497" s="93">
        <v>400</v>
      </c>
      <c r="S497" s="74">
        <f t="shared" si="402"/>
        <v>0</v>
      </c>
      <c r="T497" s="95">
        <f t="shared" si="403"/>
        <v>400</v>
      </c>
      <c r="U497" s="112">
        <v>400</v>
      </c>
      <c r="V497" s="57"/>
      <c r="W497" s="57"/>
      <c r="X497" s="57"/>
      <c r="Y497" s="57"/>
      <c r="Z497" s="57"/>
      <c r="AA497" s="57"/>
      <c r="AB497" s="68"/>
      <c r="AC497" s="58"/>
      <c r="AD497" s="170">
        <v>628.44000000000005</v>
      </c>
      <c r="AE497" s="89">
        <f t="shared" si="404"/>
        <v>-628.44000000000005</v>
      </c>
      <c r="AF497" s="216">
        <f t="shared" si="405"/>
        <v>0</v>
      </c>
      <c r="AG497" s="147"/>
      <c r="AH497" s="148"/>
      <c r="AI497" s="148"/>
      <c r="AJ497" s="148"/>
      <c r="AK497" s="148"/>
      <c r="AL497" s="148"/>
      <c r="AM497" s="148"/>
      <c r="AN497" s="149"/>
      <c r="AO497" s="150"/>
      <c r="AP497" s="76"/>
      <c r="AQ497" s="76"/>
      <c r="AR497" s="128"/>
      <c r="AS497" s="108">
        <f t="shared" si="394"/>
        <v>1</v>
      </c>
      <c r="AT497" s="249">
        <f t="shared" si="395"/>
        <v>1</v>
      </c>
      <c r="AU497" s="249">
        <f t="shared" si="396"/>
        <v>1.5711000000000002</v>
      </c>
      <c r="AV497" s="249">
        <f t="shared" si="397"/>
        <v>0</v>
      </c>
    </row>
    <row r="498" spans="1:48" outlineLevel="1" x14ac:dyDescent="0.25">
      <c r="A498" s="4" t="s">
        <v>461</v>
      </c>
      <c r="B498" s="75" t="s">
        <v>285</v>
      </c>
      <c r="C498" s="25"/>
      <c r="D498" s="92">
        <v>1</v>
      </c>
      <c r="E498" s="110">
        <v>150</v>
      </c>
      <c r="F498" s="93">
        <f>D498*E498</f>
        <v>150</v>
      </c>
      <c r="G498" s="74">
        <f t="shared" si="421"/>
        <v>0</v>
      </c>
      <c r="H498" s="95">
        <f t="shared" si="414"/>
        <v>150</v>
      </c>
      <c r="I498" s="112">
        <v>150</v>
      </c>
      <c r="J498" s="57"/>
      <c r="K498" s="57"/>
      <c r="L498" s="57"/>
      <c r="M498" s="57"/>
      <c r="N498" s="57"/>
      <c r="O498" s="57"/>
      <c r="P498" s="68"/>
      <c r="Q498" s="58"/>
      <c r="R498" s="93">
        <v>150</v>
      </c>
      <c r="S498" s="74">
        <f t="shared" si="402"/>
        <v>0</v>
      </c>
      <c r="T498" s="95">
        <f t="shared" si="403"/>
        <v>150</v>
      </c>
      <c r="U498" s="112">
        <v>150</v>
      </c>
      <c r="V498" s="57"/>
      <c r="W498" s="57"/>
      <c r="X498" s="57"/>
      <c r="Y498" s="57"/>
      <c r="Z498" s="57"/>
      <c r="AA498" s="57"/>
      <c r="AB498" s="68"/>
      <c r="AC498" s="58"/>
      <c r="AD498" s="170">
        <f>P498*Q498</f>
        <v>0</v>
      </c>
      <c r="AE498" s="89">
        <f t="shared" si="404"/>
        <v>0</v>
      </c>
      <c r="AF498" s="216">
        <f t="shared" si="405"/>
        <v>0</v>
      </c>
      <c r="AG498" s="147"/>
      <c r="AH498" s="148"/>
      <c r="AI498" s="148"/>
      <c r="AJ498" s="148"/>
      <c r="AK498" s="148"/>
      <c r="AL498" s="148"/>
      <c r="AM498" s="148"/>
      <c r="AN498" s="149"/>
      <c r="AO498" s="150"/>
      <c r="AP498" s="76"/>
      <c r="AQ498" s="76"/>
      <c r="AR498" s="128"/>
      <c r="AS498" s="108">
        <f t="shared" si="394"/>
        <v>1</v>
      </c>
      <c r="AT498" s="249">
        <f t="shared" si="395"/>
        <v>1</v>
      </c>
      <c r="AU498" s="249">
        <f t="shared" si="396"/>
        <v>0</v>
      </c>
      <c r="AV498" s="249">
        <f t="shared" si="397"/>
        <v>0</v>
      </c>
    </row>
    <row r="499" spans="1:48" outlineLevel="1" x14ac:dyDescent="0.25">
      <c r="A499" s="4" t="s">
        <v>1144</v>
      </c>
      <c r="B499" s="75" t="s">
        <v>47</v>
      </c>
      <c r="C499" s="25"/>
      <c r="D499" s="92">
        <v>1</v>
      </c>
      <c r="E499" s="110">
        <v>200</v>
      </c>
      <c r="F499" s="93">
        <f>D499*E499</f>
        <v>200</v>
      </c>
      <c r="G499" s="74">
        <f t="shared" si="421"/>
        <v>0</v>
      </c>
      <c r="H499" s="95">
        <f t="shared" si="414"/>
        <v>200</v>
      </c>
      <c r="I499" s="112"/>
      <c r="J499" s="57">
        <v>200</v>
      </c>
      <c r="K499" s="57"/>
      <c r="L499" s="57"/>
      <c r="M499" s="57"/>
      <c r="N499" s="57"/>
      <c r="O499" s="57"/>
      <c r="P499" s="68"/>
      <c r="Q499" s="58"/>
      <c r="R499" s="93">
        <v>200</v>
      </c>
      <c r="S499" s="74">
        <f t="shared" si="402"/>
        <v>0</v>
      </c>
      <c r="T499" s="95">
        <f t="shared" si="403"/>
        <v>200</v>
      </c>
      <c r="U499" s="112"/>
      <c r="V499" s="57">
        <v>200</v>
      </c>
      <c r="W499" s="57"/>
      <c r="X499" s="57"/>
      <c r="Y499" s="57"/>
      <c r="Z499" s="57"/>
      <c r="AA499" s="57"/>
      <c r="AB499" s="68"/>
      <c r="AC499" s="58"/>
      <c r="AD499" s="170">
        <v>322.29000000000002</v>
      </c>
      <c r="AE499" s="89">
        <f t="shared" si="404"/>
        <v>-322.29000000000002</v>
      </c>
      <c r="AF499" s="216">
        <f t="shared" si="405"/>
        <v>0</v>
      </c>
      <c r="AG499" s="147"/>
      <c r="AH499" s="148"/>
      <c r="AI499" s="148"/>
      <c r="AJ499" s="148"/>
      <c r="AK499" s="148"/>
      <c r="AL499" s="148"/>
      <c r="AM499" s="148"/>
      <c r="AN499" s="149"/>
      <c r="AO499" s="150"/>
      <c r="AP499" s="76"/>
      <c r="AQ499" s="76"/>
      <c r="AR499" s="128"/>
      <c r="AS499" s="108">
        <f t="shared" si="394"/>
        <v>1</v>
      </c>
      <c r="AT499" s="249">
        <f t="shared" si="395"/>
        <v>1</v>
      </c>
      <c r="AU499" s="249">
        <f t="shared" si="396"/>
        <v>1.61145</v>
      </c>
      <c r="AV499" s="249">
        <f t="shared" si="397"/>
        <v>0</v>
      </c>
    </row>
    <row r="500" spans="1:48" s="280" customFormat="1" ht="15.75" x14ac:dyDescent="0.25">
      <c r="A500" s="270" t="s">
        <v>463</v>
      </c>
      <c r="B500" s="271" t="s">
        <v>248</v>
      </c>
      <c r="C500" s="272"/>
      <c r="D500" s="273"/>
      <c r="E500" s="274"/>
      <c r="F500" s="264">
        <f>SUM(F501:F503)</f>
        <v>8550</v>
      </c>
      <c r="G500" s="265">
        <f t="shared" si="421"/>
        <v>0</v>
      </c>
      <c r="H500" s="275">
        <f t="shared" si="414"/>
        <v>8550</v>
      </c>
      <c r="I500" s="267">
        <f t="shared" ref="I500:Q500" si="434">SUM(I501:I503)</f>
        <v>0</v>
      </c>
      <c r="J500" s="268">
        <f t="shared" si="434"/>
        <v>8550</v>
      </c>
      <c r="K500" s="268">
        <f t="shared" si="434"/>
        <v>0</v>
      </c>
      <c r="L500" s="268">
        <f t="shared" si="434"/>
        <v>0</v>
      </c>
      <c r="M500" s="268">
        <f t="shared" si="434"/>
        <v>0</v>
      </c>
      <c r="N500" s="268">
        <f t="shared" si="434"/>
        <v>0</v>
      </c>
      <c r="O500" s="268">
        <f t="shared" si="434"/>
        <v>0</v>
      </c>
      <c r="P500" s="268">
        <f t="shared" si="434"/>
        <v>0</v>
      </c>
      <c r="Q500" s="269">
        <f t="shared" si="434"/>
        <v>0</v>
      </c>
      <c r="R500" s="264">
        <f>SUM(R501:R503)</f>
        <v>8550</v>
      </c>
      <c r="S500" s="265">
        <f t="shared" si="402"/>
        <v>0</v>
      </c>
      <c r="T500" s="275">
        <f t="shared" si="403"/>
        <v>8550</v>
      </c>
      <c r="U500" s="267">
        <f t="shared" ref="U500:AC500" si="435">SUM(U501:U503)</f>
        <v>0</v>
      </c>
      <c r="V500" s="268">
        <f t="shared" si="435"/>
        <v>8550</v>
      </c>
      <c r="W500" s="268">
        <f t="shared" si="435"/>
        <v>0</v>
      </c>
      <c r="X500" s="268">
        <f t="shared" si="435"/>
        <v>0</v>
      </c>
      <c r="Y500" s="268">
        <f t="shared" si="435"/>
        <v>0</v>
      </c>
      <c r="Z500" s="268">
        <f t="shared" si="435"/>
        <v>0</v>
      </c>
      <c r="AA500" s="268">
        <f t="shared" si="435"/>
        <v>0</v>
      </c>
      <c r="AB500" s="268">
        <f t="shared" si="435"/>
        <v>0</v>
      </c>
      <c r="AC500" s="269">
        <f t="shared" si="435"/>
        <v>0</v>
      </c>
      <c r="AD500" s="264">
        <f>SUM(AD501:AD503)</f>
        <v>0</v>
      </c>
      <c r="AE500" s="265">
        <f t="shared" si="404"/>
        <v>0</v>
      </c>
      <c r="AF500" s="266">
        <f t="shared" si="405"/>
        <v>0</v>
      </c>
      <c r="AG500" s="267">
        <f t="shared" ref="AG500:AO500" si="436">SUM(AG501:AG503)</f>
        <v>0</v>
      </c>
      <c r="AH500" s="268">
        <f t="shared" si="436"/>
        <v>0</v>
      </c>
      <c r="AI500" s="268">
        <f t="shared" si="436"/>
        <v>0</v>
      </c>
      <c r="AJ500" s="268">
        <f t="shared" si="436"/>
        <v>0</v>
      </c>
      <c r="AK500" s="268">
        <f t="shared" si="436"/>
        <v>0</v>
      </c>
      <c r="AL500" s="268">
        <f t="shared" si="436"/>
        <v>0</v>
      </c>
      <c r="AM500" s="268">
        <f t="shared" si="436"/>
        <v>0</v>
      </c>
      <c r="AN500" s="268">
        <f t="shared" si="436"/>
        <v>0</v>
      </c>
      <c r="AO500" s="269">
        <f t="shared" si="436"/>
        <v>0</v>
      </c>
      <c r="AP500" s="276">
        <v>8000</v>
      </c>
      <c r="AQ500" s="276">
        <f>4789+4462.7</f>
        <v>9251.7000000000007</v>
      </c>
      <c r="AR500" s="277">
        <f>AQ500*100/AP500</f>
        <v>115.64625000000001</v>
      </c>
      <c r="AS500" s="278">
        <f t="shared" si="394"/>
        <v>1</v>
      </c>
      <c r="AT500" s="279">
        <f t="shared" si="395"/>
        <v>1</v>
      </c>
      <c r="AU500" s="279">
        <f t="shared" si="396"/>
        <v>0</v>
      </c>
      <c r="AV500" s="279">
        <f t="shared" si="397"/>
        <v>0</v>
      </c>
    </row>
    <row r="501" spans="1:48" outlineLevel="1" x14ac:dyDescent="0.25">
      <c r="A501" s="4" t="s">
        <v>464</v>
      </c>
      <c r="B501" s="75" t="s">
        <v>955</v>
      </c>
      <c r="C501" s="25"/>
      <c r="D501" s="92">
        <v>1</v>
      </c>
      <c r="E501" s="110">
        <v>5850</v>
      </c>
      <c r="F501" s="93">
        <f>D501*E501</f>
        <v>5850</v>
      </c>
      <c r="G501" s="74">
        <f t="shared" si="421"/>
        <v>0</v>
      </c>
      <c r="H501" s="95">
        <f t="shared" si="414"/>
        <v>5850</v>
      </c>
      <c r="I501" s="112"/>
      <c r="J501" s="57">
        <v>5850</v>
      </c>
      <c r="K501" s="57"/>
      <c r="L501" s="57"/>
      <c r="M501" s="57"/>
      <c r="N501" s="57"/>
      <c r="O501" s="57"/>
      <c r="P501" s="68"/>
      <c r="Q501" s="58"/>
      <c r="R501" s="93">
        <v>5850</v>
      </c>
      <c r="S501" s="74">
        <f t="shared" si="402"/>
        <v>0</v>
      </c>
      <c r="T501" s="95">
        <f t="shared" si="403"/>
        <v>5850</v>
      </c>
      <c r="U501" s="112"/>
      <c r="V501" s="57">
        <v>5850</v>
      </c>
      <c r="W501" s="57"/>
      <c r="X501" s="57"/>
      <c r="Y501" s="57"/>
      <c r="Z501" s="57"/>
      <c r="AA501" s="57"/>
      <c r="AB501" s="68"/>
      <c r="AC501" s="58"/>
      <c r="AD501" s="170">
        <f>P501*Q501</f>
        <v>0</v>
      </c>
      <c r="AE501" s="89">
        <f t="shared" si="404"/>
        <v>0</v>
      </c>
      <c r="AF501" s="216">
        <f t="shared" si="405"/>
        <v>0</v>
      </c>
      <c r="AG501" s="147"/>
      <c r="AH501" s="148"/>
      <c r="AI501" s="148"/>
      <c r="AJ501" s="148"/>
      <c r="AK501" s="148"/>
      <c r="AL501" s="148"/>
      <c r="AM501" s="148"/>
      <c r="AN501" s="149"/>
      <c r="AO501" s="150"/>
      <c r="AP501" s="76"/>
      <c r="AQ501" s="76"/>
      <c r="AR501" s="128"/>
      <c r="AS501" s="108">
        <f t="shared" si="394"/>
        <v>1</v>
      </c>
      <c r="AT501" s="249">
        <f t="shared" si="395"/>
        <v>1</v>
      </c>
      <c r="AU501" s="249">
        <f t="shared" si="396"/>
        <v>0</v>
      </c>
      <c r="AV501" s="249">
        <f t="shared" si="397"/>
        <v>0</v>
      </c>
    </row>
    <row r="502" spans="1:48" outlineLevel="1" x14ac:dyDescent="0.25">
      <c r="A502" s="4" t="s">
        <v>465</v>
      </c>
      <c r="B502" s="75" t="s">
        <v>956</v>
      </c>
      <c r="C502" s="25"/>
      <c r="D502" s="92">
        <v>1</v>
      </c>
      <c r="E502" s="110">
        <v>2700</v>
      </c>
      <c r="F502" s="93">
        <f>D502*E502</f>
        <v>2700</v>
      </c>
      <c r="G502" s="74">
        <f t="shared" si="421"/>
        <v>0</v>
      </c>
      <c r="H502" s="95">
        <f t="shared" si="414"/>
        <v>2700</v>
      </c>
      <c r="I502" s="112"/>
      <c r="J502" s="57">
        <v>2700</v>
      </c>
      <c r="K502" s="57"/>
      <c r="L502" s="57"/>
      <c r="M502" s="57"/>
      <c r="N502" s="57"/>
      <c r="O502" s="57"/>
      <c r="P502" s="68"/>
      <c r="Q502" s="58"/>
      <c r="R502" s="93">
        <v>2700</v>
      </c>
      <c r="S502" s="74">
        <f t="shared" si="402"/>
        <v>0</v>
      </c>
      <c r="T502" s="95">
        <f t="shared" si="403"/>
        <v>2700</v>
      </c>
      <c r="U502" s="112"/>
      <c r="V502" s="57">
        <v>2700</v>
      </c>
      <c r="W502" s="57"/>
      <c r="X502" s="57"/>
      <c r="Y502" s="57"/>
      <c r="Z502" s="57"/>
      <c r="AA502" s="57"/>
      <c r="AB502" s="68"/>
      <c r="AC502" s="58"/>
      <c r="AD502" s="170">
        <f>P502*Q502</f>
        <v>0</v>
      </c>
      <c r="AE502" s="89">
        <f t="shared" si="404"/>
        <v>0</v>
      </c>
      <c r="AF502" s="216">
        <f t="shared" si="405"/>
        <v>0</v>
      </c>
      <c r="AG502" s="147"/>
      <c r="AH502" s="148"/>
      <c r="AI502" s="148"/>
      <c r="AJ502" s="148"/>
      <c r="AK502" s="148"/>
      <c r="AL502" s="148"/>
      <c r="AM502" s="148"/>
      <c r="AN502" s="149"/>
      <c r="AO502" s="150"/>
      <c r="AP502" s="76"/>
      <c r="AQ502" s="76"/>
      <c r="AR502" s="128"/>
      <c r="AS502" s="108">
        <f t="shared" si="394"/>
        <v>1</v>
      </c>
      <c r="AT502" s="249">
        <f t="shared" si="395"/>
        <v>1</v>
      </c>
      <c r="AU502" s="249">
        <f t="shared" si="396"/>
        <v>0</v>
      </c>
      <c r="AV502" s="249">
        <f t="shared" si="397"/>
        <v>0</v>
      </c>
    </row>
    <row r="503" spans="1:48" outlineLevel="1" x14ac:dyDescent="0.25">
      <c r="A503" s="4" t="s">
        <v>1145</v>
      </c>
      <c r="B503" s="75" t="s">
        <v>47</v>
      </c>
      <c r="C503" s="25"/>
      <c r="D503" s="92"/>
      <c r="E503" s="110"/>
      <c r="F503" s="93">
        <f>D503*E503</f>
        <v>0</v>
      </c>
      <c r="G503" s="74">
        <f t="shared" si="421"/>
        <v>0</v>
      </c>
      <c r="H503" s="95">
        <f t="shared" si="414"/>
        <v>0</v>
      </c>
      <c r="I503" s="112"/>
      <c r="J503" s="57"/>
      <c r="K503" s="57"/>
      <c r="L503" s="57"/>
      <c r="M503" s="57"/>
      <c r="N503" s="57"/>
      <c r="O503" s="57"/>
      <c r="P503" s="68"/>
      <c r="Q503" s="58"/>
      <c r="R503" s="93">
        <v>0</v>
      </c>
      <c r="S503" s="74">
        <f t="shared" si="402"/>
        <v>0</v>
      </c>
      <c r="T503" s="95">
        <f t="shared" si="403"/>
        <v>0</v>
      </c>
      <c r="U503" s="112"/>
      <c r="V503" s="57"/>
      <c r="W503" s="57"/>
      <c r="X503" s="57"/>
      <c r="Y503" s="57"/>
      <c r="Z503" s="57"/>
      <c r="AA503" s="57"/>
      <c r="AB503" s="68"/>
      <c r="AC503" s="58"/>
      <c r="AD503" s="170">
        <f>P503*Q503</f>
        <v>0</v>
      </c>
      <c r="AE503" s="89">
        <f t="shared" si="404"/>
        <v>0</v>
      </c>
      <c r="AF503" s="216">
        <f t="shared" si="405"/>
        <v>0</v>
      </c>
      <c r="AG503" s="147"/>
      <c r="AH503" s="148"/>
      <c r="AI503" s="148"/>
      <c r="AJ503" s="148"/>
      <c r="AK503" s="148"/>
      <c r="AL503" s="148"/>
      <c r="AM503" s="148"/>
      <c r="AN503" s="149"/>
      <c r="AO503" s="150"/>
      <c r="AP503" s="76"/>
      <c r="AQ503" s="76"/>
      <c r="AR503" s="128"/>
      <c r="AS503" s="108"/>
      <c r="AT503" s="249"/>
      <c r="AU503" s="249"/>
      <c r="AV503" s="249"/>
    </row>
    <row r="504" spans="1:48" s="3" customFormat="1" ht="15.75" x14ac:dyDescent="0.25">
      <c r="A504" s="7" t="s">
        <v>467</v>
      </c>
      <c r="B504" s="13" t="s">
        <v>814</v>
      </c>
      <c r="C504" s="23"/>
      <c r="D504" s="24"/>
      <c r="E504" s="17"/>
      <c r="F504" s="82">
        <f>SUM(F505:F506)</f>
        <v>475</v>
      </c>
      <c r="G504" s="89">
        <f t="shared" si="421"/>
        <v>0</v>
      </c>
      <c r="H504" s="18">
        <f t="shared" si="414"/>
        <v>475</v>
      </c>
      <c r="I504" s="54">
        <f t="shared" ref="I504:Q504" si="437">SUM(I505:I506)</f>
        <v>0</v>
      </c>
      <c r="J504" s="55">
        <f t="shared" si="437"/>
        <v>475</v>
      </c>
      <c r="K504" s="55">
        <f t="shared" si="437"/>
        <v>0</v>
      </c>
      <c r="L504" s="55">
        <f t="shared" si="437"/>
        <v>0</v>
      </c>
      <c r="M504" s="55">
        <f t="shared" si="437"/>
        <v>0</v>
      </c>
      <c r="N504" s="55">
        <f t="shared" si="437"/>
        <v>0</v>
      </c>
      <c r="O504" s="55">
        <f t="shared" si="437"/>
        <v>0</v>
      </c>
      <c r="P504" s="55">
        <f t="shared" si="437"/>
        <v>0</v>
      </c>
      <c r="Q504" s="56">
        <f t="shared" si="437"/>
        <v>0</v>
      </c>
      <c r="R504" s="82">
        <f>SUM(R505:R506)</f>
        <v>475</v>
      </c>
      <c r="S504" s="89">
        <f t="shared" si="402"/>
        <v>0</v>
      </c>
      <c r="T504" s="18">
        <f t="shared" si="403"/>
        <v>475</v>
      </c>
      <c r="U504" s="54">
        <f t="shared" ref="U504:AC504" si="438">SUM(U505:U506)</f>
        <v>0</v>
      </c>
      <c r="V504" s="55">
        <f t="shared" si="438"/>
        <v>475</v>
      </c>
      <c r="W504" s="55">
        <f t="shared" si="438"/>
        <v>0</v>
      </c>
      <c r="X504" s="55">
        <f t="shared" si="438"/>
        <v>0</v>
      </c>
      <c r="Y504" s="55">
        <f t="shared" si="438"/>
        <v>0</v>
      </c>
      <c r="Z504" s="55">
        <f t="shared" si="438"/>
        <v>0</v>
      </c>
      <c r="AA504" s="55">
        <f t="shared" si="438"/>
        <v>0</v>
      </c>
      <c r="AB504" s="55">
        <f t="shared" si="438"/>
        <v>0</v>
      </c>
      <c r="AC504" s="56">
        <f t="shared" si="438"/>
        <v>0</v>
      </c>
      <c r="AD504" s="264">
        <f>SUM(AD505:AD506)</f>
        <v>0</v>
      </c>
      <c r="AE504" s="265">
        <f t="shared" si="404"/>
        <v>0</v>
      </c>
      <c r="AF504" s="266">
        <f t="shared" si="405"/>
        <v>0</v>
      </c>
      <c r="AG504" s="267">
        <f t="shared" ref="AG504:AO504" si="439">SUM(AG505:AG506)</f>
        <v>0</v>
      </c>
      <c r="AH504" s="268">
        <f t="shared" si="439"/>
        <v>0</v>
      </c>
      <c r="AI504" s="268">
        <f t="shared" si="439"/>
        <v>0</v>
      </c>
      <c r="AJ504" s="268">
        <f t="shared" si="439"/>
        <v>0</v>
      </c>
      <c r="AK504" s="268">
        <f t="shared" si="439"/>
        <v>0</v>
      </c>
      <c r="AL504" s="268">
        <f t="shared" si="439"/>
        <v>0</v>
      </c>
      <c r="AM504" s="268">
        <f t="shared" si="439"/>
        <v>0</v>
      </c>
      <c r="AN504" s="268">
        <f t="shared" si="439"/>
        <v>0</v>
      </c>
      <c r="AO504" s="269">
        <f t="shared" si="439"/>
        <v>0</v>
      </c>
      <c r="AP504" s="33">
        <v>675</v>
      </c>
      <c r="AQ504" s="33">
        <f>659.62</f>
        <v>659.62</v>
      </c>
      <c r="AR504" s="127">
        <f>AQ504*100/AP504</f>
        <v>97.721481481481476</v>
      </c>
      <c r="AS504" s="108">
        <f t="shared" si="394"/>
        <v>1</v>
      </c>
      <c r="AT504" s="249">
        <f t="shared" si="395"/>
        <v>1</v>
      </c>
      <c r="AU504" s="249">
        <f t="shared" si="396"/>
        <v>0</v>
      </c>
      <c r="AV504" s="249">
        <f t="shared" si="397"/>
        <v>0</v>
      </c>
    </row>
    <row r="505" spans="1:48" outlineLevel="1" x14ac:dyDescent="0.25">
      <c r="A505" s="4" t="s">
        <v>468</v>
      </c>
      <c r="B505" s="75" t="s">
        <v>666</v>
      </c>
      <c r="C505" s="25"/>
      <c r="D505" s="92">
        <v>1</v>
      </c>
      <c r="E505" s="110">
        <v>475</v>
      </c>
      <c r="F505" s="93">
        <f>D505*E505</f>
        <v>475</v>
      </c>
      <c r="G505" s="74">
        <f t="shared" si="421"/>
        <v>0</v>
      </c>
      <c r="H505" s="95">
        <f t="shared" si="414"/>
        <v>475</v>
      </c>
      <c r="I505" s="112"/>
      <c r="J505" s="57">
        <v>475</v>
      </c>
      <c r="K505" s="57"/>
      <c r="L505" s="57"/>
      <c r="M505" s="57"/>
      <c r="N505" s="57"/>
      <c r="O505" s="57"/>
      <c r="P505" s="68"/>
      <c r="Q505" s="58"/>
      <c r="R505" s="93">
        <v>475</v>
      </c>
      <c r="S505" s="74">
        <f t="shared" si="402"/>
        <v>0</v>
      </c>
      <c r="T505" s="95">
        <f t="shared" si="403"/>
        <v>475</v>
      </c>
      <c r="U505" s="112"/>
      <c r="V505" s="57">
        <v>475</v>
      </c>
      <c r="W505" s="57"/>
      <c r="X505" s="57"/>
      <c r="Y505" s="57"/>
      <c r="Z505" s="57"/>
      <c r="AA505" s="57"/>
      <c r="AB505" s="68"/>
      <c r="AC505" s="58"/>
      <c r="AD505" s="170">
        <f>P505*Q505</f>
        <v>0</v>
      </c>
      <c r="AE505" s="89">
        <f t="shared" si="404"/>
        <v>0</v>
      </c>
      <c r="AF505" s="216">
        <f t="shared" si="405"/>
        <v>0</v>
      </c>
      <c r="AG505" s="147"/>
      <c r="AH505" s="148"/>
      <c r="AI505" s="148"/>
      <c r="AJ505" s="148"/>
      <c r="AK505" s="148"/>
      <c r="AL505" s="148"/>
      <c r="AM505" s="148"/>
      <c r="AN505" s="149"/>
      <c r="AO505" s="150"/>
      <c r="AP505" s="76"/>
      <c r="AQ505" s="76"/>
      <c r="AR505" s="128"/>
      <c r="AS505" s="108">
        <f t="shared" si="394"/>
        <v>1</v>
      </c>
      <c r="AT505" s="249">
        <f t="shared" si="395"/>
        <v>1</v>
      </c>
      <c r="AU505" s="249">
        <f t="shared" si="396"/>
        <v>0</v>
      </c>
      <c r="AV505" s="249">
        <f t="shared" si="397"/>
        <v>0</v>
      </c>
    </row>
    <row r="506" spans="1:48" outlineLevel="1" x14ac:dyDescent="0.25">
      <c r="A506" s="6" t="s">
        <v>1146</v>
      </c>
      <c r="B506" s="75" t="s">
        <v>47</v>
      </c>
      <c r="C506" s="25"/>
      <c r="D506" s="92"/>
      <c r="E506" s="110"/>
      <c r="F506" s="93">
        <f>D506*E506</f>
        <v>0</v>
      </c>
      <c r="G506" s="74">
        <f t="shared" si="421"/>
        <v>0</v>
      </c>
      <c r="H506" s="95">
        <f t="shared" si="414"/>
        <v>0</v>
      </c>
      <c r="I506" s="112"/>
      <c r="J506" s="57"/>
      <c r="K506" s="57"/>
      <c r="L506" s="57"/>
      <c r="M506" s="57"/>
      <c r="N506" s="57"/>
      <c r="O506" s="57"/>
      <c r="P506" s="68"/>
      <c r="Q506" s="58"/>
      <c r="R506" s="93">
        <f>P506*Q506</f>
        <v>0</v>
      </c>
      <c r="S506" s="74">
        <f t="shared" si="402"/>
        <v>0</v>
      </c>
      <c r="T506" s="95">
        <f t="shared" si="403"/>
        <v>0</v>
      </c>
      <c r="U506" s="112"/>
      <c r="V506" s="57"/>
      <c r="W506" s="57"/>
      <c r="X506" s="57"/>
      <c r="Y506" s="57"/>
      <c r="Z506" s="57"/>
      <c r="AA506" s="57"/>
      <c r="AB506" s="68"/>
      <c r="AC506" s="58"/>
      <c r="AD506" s="170">
        <f>P506*Q506</f>
        <v>0</v>
      </c>
      <c r="AE506" s="89">
        <f t="shared" si="404"/>
        <v>0</v>
      </c>
      <c r="AF506" s="216">
        <f t="shared" si="405"/>
        <v>0</v>
      </c>
      <c r="AG506" s="147"/>
      <c r="AH506" s="148"/>
      <c r="AI506" s="148"/>
      <c r="AJ506" s="148"/>
      <c r="AK506" s="148"/>
      <c r="AL506" s="148"/>
      <c r="AM506" s="148"/>
      <c r="AN506" s="149"/>
      <c r="AO506" s="150"/>
      <c r="AP506" s="76"/>
      <c r="AQ506" s="76"/>
      <c r="AR506" s="128"/>
      <c r="AS506" s="108"/>
      <c r="AT506" s="249"/>
      <c r="AU506" s="249"/>
      <c r="AV506" s="249"/>
    </row>
    <row r="507" spans="1:48" s="3" customFormat="1" ht="15.75" x14ac:dyDescent="0.25">
      <c r="A507" s="7" t="s">
        <v>470</v>
      </c>
      <c r="B507" s="13" t="s">
        <v>250</v>
      </c>
      <c r="C507" s="23"/>
      <c r="D507" s="24"/>
      <c r="E507" s="17"/>
      <c r="F507" s="82">
        <f>SUM(F508:F511)</f>
        <v>5700</v>
      </c>
      <c r="G507" s="89">
        <f t="shared" si="421"/>
        <v>0</v>
      </c>
      <c r="H507" s="18">
        <f t="shared" si="414"/>
        <v>5700</v>
      </c>
      <c r="I507" s="54">
        <f t="shared" ref="I507:Q507" si="440">SUM(I508:I511)</f>
        <v>2200</v>
      </c>
      <c r="J507" s="55">
        <f t="shared" si="440"/>
        <v>1500</v>
      </c>
      <c r="K507" s="55">
        <f t="shared" si="440"/>
        <v>0</v>
      </c>
      <c r="L507" s="55">
        <f t="shared" si="440"/>
        <v>0</v>
      </c>
      <c r="M507" s="55">
        <f t="shared" si="440"/>
        <v>0</v>
      </c>
      <c r="N507" s="55">
        <f t="shared" si="440"/>
        <v>1000</v>
      </c>
      <c r="O507" s="55">
        <f t="shared" si="440"/>
        <v>0</v>
      </c>
      <c r="P507" s="55">
        <f t="shared" si="440"/>
        <v>0</v>
      </c>
      <c r="Q507" s="56">
        <f t="shared" si="440"/>
        <v>1000</v>
      </c>
      <c r="R507" s="82">
        <f>SUM(R508:R511)</f>
        <v>5700</v>
      </c>
      <c r="S507" s="89">
        <f t="shared" si="402"/>
        <v>0</v>
      </c>
      <c r="T507" s="18">
        <f t="shared" si="403"/>
        <v>5700</v>
      </c>
      <c r="U507" s="54">
        <f t="shared" ref="U507:AC507" si="441">SUM(U508:U511)</f>
        <v>2200</v>
      </c>
      <c r="V507" s="55">
        <f t="shared" si="441"/>
        <v>1500</v>
      </c>
      <c r="W507" s="55">
        <f t="shared" si="441"/>
        <v>0</v>
      </c>
      <c r="X507" s="55">
        <f t="shared" si="441"/>
        <v>0</v>
      </c>
      <c r="Y507" s="55">
        <f t="shared" si="441"/>
        <v>0</v>
      </c>
      <c r="Z507" s="55">
        <f t="shared" si="441"/>
        <v>1000</v>
      </c>
      <c r="AA507" s="55">
        <f t="shared" si="441"/>
        <v>0</v>
      </c>
      <c r="AB507" s="55">
        <f t="shared" si="441"/>
        <v>0</v>
      </c>
      <c r="AC507" s="56">
        <f t="shared" si="441"/>
        <v>1000</v>
      </c>
      <c r="AD507" s="264">
        <f>SUM(AD508:AD511)</f>
        <v>0</v>
      </c>
      <c r="AE507" s="265">
        <f t="shared" si="404"/>
        <v>0</v>
      </c>
      <c r="AF507" s="266">
        <f t="shared" si="405"/>
        <v>0</v>
      </c>
      <c r="AG507" s="267">
        <f t="shared" ref="AG507:AO507" si="442">SUM(AG508:AG511)</f>
        <v>0</v>
      </c>
      <c r="AH507" s="268">
        <f t="shared" si="442"/>
        <v>0</v>
      </c>
      <c r="AI507" s="268">
        <f t="shared" si="442"/>
        <v>0</v>
      </c>
      <c r="AJ507" s="268">
        <f t="shared" si="442"/>
        <v>0</v>
      </c>
      <c r="AK507" s="268">
        <f t="shared" si="442"/>
        <v>0</v>
      </c>
      <c r="AL507" s="268">
        <f t="shared" si="442"/>
        <v>0</v>
      </c>
      <c r="AM507" s="268">
        <f t="shared" si="442"/>
        <v>0</v>
      </c>
      <c r="AN507" s="268">
        <f t="shared" si="442"/>
        <v>0</v>
      </c>
      <c r="AO507" s="269">
        <f t="shared" si="442"/>
        <v>0</v>
      </c>
      <c r="AP507" s="33">
        <v>1400</v>
      </c>
      <c r="AQ507" s="33">
        <f>2014.48+184.95+888.16+460</f>
        <v>3547.5899999999997</v>
      </c>
      <c r="AR507" s="127">
        <f>AQ507*100/AP507</f>
        <v>253.39928571428567</v>
      </c>
      <c r="AS507" s="108">
        <f t="shared" si="394"/>
        <v>1</v>
      </c>
      <c r="AT507" s="249">
        <f t="shared" si="395"/>
        <v>1</v>
      </c>
      <c r="AU507" s="249">
        <f t="shared" si="396"/>
        <v>0</v>
      </c>
      <c r="AV507" s="249">
        <f t="shared" si="397"/>
        <v>0</v>
      </c>
    </row>
    <row r="508" spans="1:48" outlineLevel="1" x14ac:dyDescent="0.25">
      <c r="A508" s="4" t="s">
        <v>471</v>
      </c>
      <c r="B508" s="75" t="s">
        <v>937</v>
      </c>
      <c r="C508" s="25"/>
      <c r="D508" s="92">
        <v>1</v>
      </c>
      <c r="E508" s="110">
        <v>1000</v>
      </c>
      <c r="F508" s="93">
        <f>D508*E508</f>
        <v>1000</v>
      </c>
      <c r="G508" s="74">
        <f t="shared" si="421"/>
        <v>0</v>
      </c>
      <c r="H508" s="95">
        <f t="shared" si="414"/>
        <v>1000</v>
      </c>
      <c r="I508" s="112"/>
      <c r="J508" s="57">
        <v>1000</v>
      </c>
      <c r="K508" s="57"/>
      <c r="L508" s="57"/>
      <c r="M508" s="57"/>
      <c r="N508" s="57"/>
      <c r="O508" s="57"/>
      <c r="P508" s="68"/>
      <c r="Q508" s="58"/>
      <c r="R508" s="93">
        <v>1000</v>
      </c>
      <c r="S508" s="74">
        <f t="shared" si="402"/>
        <v>0</v>
      </c>
      <c r="T508" s="95">
        <f t="shared" si="403"/>
        <v>1000</v>
      </c>
      <c r="U508" s="112"/>
      <c r="V508" s="57">
        <v>1000</v>
      </c>
      <c r="W508" s="57"/>
      <c r="X508" s="57"/>
      <c r="Y508" s="57"/>
      <c r="Z508" s="57"/>
      <c r="AA508" s="57"/>
      <c r="AB508" s="68"/>
      <c r="AC508" s="58"/>
      <c r="AD508" s="170">
        <f>P508*Q508</f>
        <v>0</v>
      </c>
      <c r="AE508" s="89">
        <f t="shared" si="404"/>
        <v>0</v>
      </c>
      <c r="AF508" s="216">
        <f t="shared" si="405"/>
        <v>0</v>
      </c>
      <c r="AG508" s="147"/>
      <c r="AH508" s="148"/>
      <c r="AI508" s="148"/>
      <c r="AJ508" s="148"/>
      <c r="AK508" s="148"/>
      <c r="AL508" s="148"/>
      <c r="AM508" s="148"/>
      <c r="AN508" s="149"/>
      <c r="AO508" s="150"/>
      <c r="AP508" s="76"/>
      <c r="AQ508" s="76"/>
      <c r="AR508" s="128"/>
      <c r="AS508" s="108">
        <f t="shared" si="394"/>
        <v>1</v>
      </c>
      <c r="AT508" s="249">
        <f t="shared" si="395"/>
        <v>1</v>
      </c>
      <c r="AU508" s="249">
        <f t="shared" si="396"/>
        <v>0</v>
      </c>
      <c r="AV508" s="249">
        <f t="shared" si="397"/>
        <v>0</v>
      </c>
    </row>
    <row r="509" spans="1:48" outlineLevel="1" x14ac:dyDescent="0.25">
      <c r="A509" s="6" t="s">
        <v>472</v>
      </c>
      <c r="B509" s="75" t="s">
        <v>837</v>
      </c>
      <c r="C509" s="25"/>
      <c r="D509" s="92">
        <v>1</v>
      </c>
      <c r="E509" s="110">
        <v>200</v>
      </c>
      <c r="F509" s="93">
        <f>D509*E509</f>
        <v>200</v>
      </c>
      <c r="G509" s="74">
        <f t="shared" si="421"/>
        <v>0</v>
      </c>
      <c r="H509" s="95">
        <f t="shared" si="414"/>
        <v>200</v>
      </c>
      <c r="I509" s="112">
        <v>200</v>
      </c>
      <c r="J509" s="57"/>
      <c r="K509" s="57"/>
      <c r="L509" s="57"/>
      <c r="M509" s="57"/>
      <c r="N509" s="57"/>
      <c r="O509" s="57"/>
      <c r="P509" s="68"/>
      <c r="Q509" s="58"/>
      <c r="R509" s="93">
        <v>200</v>
      </c>
      <c r="S509" s="74">
        <f t="shared" si="402"/>
        <v>0</v>
      </c>
      <c r="T509" s="95">
        <f t="shared" si="403"/>
        <v>200</v>
      </c>
      <c r="U509" s="112">
        <v>200</v>
      </c>
      <c r="V509" s="57"/>
      <c r="W509" s="57"/>
      <c r="X509" s="57"/>
      <c r="Y509" s="57"/>
      <c r="Z509" s="57"/>
      <c r="AA509" s="57"/>
      <c r="AB509" s="68"/>
      <c r="AC509" s="58"/>
      <c r="AD509" s="170">
        <f>P509*Q509</f>
        <v>0</v>
      </c>
      <c r="AE509" s="89">
        <f t="shared" si="404"/>
        <v>0</v>
      </c>
      <c r="AF509" s="216">
        <f t="shared" si="405"/>
        <v>0</v>
      </c>
      <c r="AG509" s="147"/>
      <c r="AH509" s="148"/>
      <c r="AI509" s="148"/>
      <c r="AJ509" s="148"/>
      <c r="AK509" s="148"/>
      <c r="AL509" s="148"/>
      <c r="AM509" s="148"/>
      <c r="AN509" s="149"/>
      <c r="AO509" s="150"/>
      <c r="AP509" s="76"/>
      <c r="AQ509" s="76"/>
      <c r="AR509" s="128"/>
      <c r="AS509" s="108">
        <f t="shared" si="394"/>
        <v>1</v>
      </c>
      <c r="AT509" s="249">
        <f t="shared" si="395"/>
        <v>1</v>
      </c>
      <c r="AU509" s="249">
        <f t="shared" si="396"/>
        <v>0</v>
      </c>
      <c r="AV509" s="249">
        <f t="shared" si="397"/>
        <v>0</v>
      </c>
    </row>
    <row r="510" spans="1:48" outlineLevel="1" x14ac:dyDescent="0.25">
      <c r="A510" s="6" t="s">
        <v>473</v>
      </c>
      <c r="B510" s="75" t="s">
        <v>993</v>
      </c>
      <c r="C510" s="25"/>
      <c r="D510" s="92">
        <v>1</v>
      </c>
      <c r="E510" s="110">
        <v>4000</v>
      </c>
      <c r="F510" s="93">
        <f>D510*E510</f>
        <v>4000</v>
      </c>
      <c r="G510" s="74"/>
      <c r="H510" s="95">
        <f t="shared" si="414"/>
        <v>4000</v>
      </c>
      <c r="I510" s="112">
        <v>2000</v>
      </c>
      <c r="J510" s="57"/>
      <c r="K510" s="57"/>
      <c r="L510" s="57"/>
      <c r="M510" s="57"/>
      <c r="N510" s="57">
        <v>1000</v>
      </c>
      <c r="O510" s="57"/>
      <c r="P510" s="68"/>
      <c r="Q510" s="58">
        <v>1000</v>
      </c>
      <c r="R510" s="93">
        <v>4000</v>
      </c>
      <c r="S510" s="74"/>
      <c r="T510" s="95">
        <f t="shared" si="403"/>
        <v>4000</v>
      </c>
      <c r="U510" s="112">
        <v>2000</v>
      </c>
      <c r="V510" s="57"/>
      <c r="W510" s="57"/>
      <c r="X510" s="57"/>
      <c r="Y510" s="57"/>
      <c r="Z510" s="57">
        <v>1000</v>
      </c>
      <c r="AA510" s="57"/>
      <c r="AB510" s="68"/>
      <c r="AC510" s="58">
        <v>1000</v>
      </c>
      <c r="AD510" s="170">
        <f>P510*Q510</f>
        <v>0</v>
      </c>
      <c r="AE510" s="89">
        <f t="shared" si="404"/>
        <v>0</v>
      </c>
      <c r="AF510" s="216">
        <f t="shared" si="405"/>
        <v>0</v>
      </c>
      <c r="AG510" s="147"/>
      <c r="AH510" s="148"/>
      <c r="AI510" s="148"/>
      <c r="AJ510" s="148"/>
      <c r="AK510" s="148"/>
      <c r="AL510" s="148"/>
      <c r="AM510" s="148"/>
      <c r="AN510" s="149"/>
      <c r="AO510" s="150"/>
      <c r="AP510" s="76"/>
      <c r="AQ510" s="76"/>
      <c r="AR510" s="128"/>
      <c r="AS510" s="108">
        <f t="shared" si="394"/>
        <v>1</v>
      </c>
      <c r="AT510" s="249">
        <f t="shared" si="395"/>
        <v>1</v>
      </c>
      <c r="AU510" s="249">
        <f t="shared" si="396"/>
        <v>0</v>
      </c>
      <c r="AV510" s="249">
        <f t="shared" si="397"/>
        <v>0</v>
      </c>
    </row>
    <row r="511" spans="1:48" outlineLevel="1" x14ac:dyDescent="0.25">
      <c r="A511" s="4" t="s">
        <v>1147</v>
      </c>
      <c r="B511" s="75" t="s">
        <v>47</v>
      </c>
      <c r="C511" s="25"/>
      <c r="D511" s="92">
        <v>1</v>
      </c>
      <c r="E511" s="110">
        <v>500</v>
      </c>
      <c r="F511" s="93">
        <f>D511*E511</f>
        <v>500</v>
      </c>
      <c r="G511" s="74">
        <f t="shared" si="421"/>
        <v>0</v>
      </c>
      <c r="H511" s="95">
        <f t="shared" si="414"/>
        <v>500</v>
      </c>
      <c r="I511" s="112"/>
      <c r="J511" s="57">
        <v>500</v>
      </c>
      <c r="K511" s="57"/>
      <c r="L511" s="57"/>
      <c r="M511" s="57"/>
      <c r="N511" s="57"/>
      <c r="O511" s="57"/>
      <c r="P511" s="68"/>
      <c r="Q511" s="58"/>
      <c r="R511" s="93">
        <v>500</v>
      </c>
      <c r="S511" s="74">
        <f t="shared" ref="S511:S577" si="443">T511-R511</f>
        <v>0</v>
      </c>
      <c r="T511" s="95">
        <f t="shared" si="403"/>
        <v>500</v>
      </c>
      <c r="U511" s="112"/>
      <c r="V511" s="57">
        <v>500</v>
      </c>
      <c r="W511" s="57"/>
      <c r="X511" s="57"/>
      <c r="Y511" s="57"/>
      <c r="Z511" s="57"/>
      <c r="AA511" s="57"/>
      <c r="AB511" s="68"/>
      <c r="AC511" s="58"/>
      <c r="AD511" s="170">
        <f>P511*Q511</f>
        <v>0</v>
      </c>
      <c r="AE511" s="89">
        <f t="shared" si="404"/>
        <v>0</v>
      </c>
      <c r="AF511" s="216">
        <f t="shared" si="405"/>
        <v>0</v>
      </c>
      <c r="AG511" s="147"/>
      <c r="AH511" s="148"/>
      <c r="AI511" s="148"/>
      <c r="AJ511" s="148"/>
      <c r="AK511" s="148"/>
      <c r="AL511" s="148"/>
      <c r="AM511" s="148"/>
      <c r="AN511" s="149"/>
      <c r="AO511" s="150"/>
      <c r="AP511" s="76"/>
      <c r="AQ511" s="76"/>
      <c r="AR511" s="128"/>
      <c r="AS511" s="108">
        <f t="shared" si="394"/>
        <v>1</v>
      </c>
      <c r="AT511" s="249">
        <f t="shared" si="395"/>
        <v>1</v>
      </c>
      <c r="AU511" s="249">
        <f t="shared" si="396"/>
        <v>0</v>
      </c>
      <c r="AV511" s="249">
        <f t="shared" si="397"/>
        <v>0</v>
      </c>
    </row>
    <row r="512" spans="1:48" s="3" customFormat="1" ht="15.75" x14ac:dyDescent="0.25">
      <c r="A512" s="7" t="s">
        <v>475</v>
      </c>
      <c r="B512" s="13" t="s">
        <v>495</v>
      </c>
      <c r="C512" s="23"/>
      <c r="D512" s="24"/>
      <c r="E512" s="17"/>
      <c r="F512" s="82">
        <f>SUM(F513:F513)</f>
        <v>950</v>
      </c>
      <c r="G512" s="89">
        <f t="shared" si="421"/>
        <v>0</v>
      </c>
      <c r="H512" s="18">
        <f t="shared" si="414"/>
        <v>950</v>
      </c>
      <c r="I512" s="54">
        <f t="shared" ref="I512:AO512" si="444">SUM(I513:I513)</f>
        <v>0</v>
      </c>
      <c r="J512" s="55">
        <f t="shared" si="444"/>
        <v>950</v>
      </c>
      <c r="K512" s="55">
        <f t="shared" si="444"/>
        <v>0</v>
      </c>
      <c r="L512" s="55">
        <f t="shared" si="444"/>
        <v>0</v>
      </c>
      <c r="M512" s="55">
        <f t="shared" si="444"/>
        <v>0</v>
      </c>
      <c r="N512" s="55">
        <f t="shared" si="444"/>
        <v>0</v>
      </c>
      <c r="O512" s="55">
        <f t="shared" si="444"/>
        <v>0</v>
      </c>
      <c r="P512" s="55">
        <f t="shared" si="444"/>
        <v>0</v>
      </c>
      <c r="Q512" s="56">
        <f t="shared" si="444"/>
        <v>0</v>
      </c>
      <c r="R512" s="82">
        <f>SUM(R513:R513)</f>
        <v>950</v>
      </c>
      <c r="S512" s="89">
        <f t="shared" si="443"/>
        <v>0</v>
      </c>
      <c r="T512" s="18">
        <f t="shared" si="403"/>
        <v>950</v>
      </c>
      <c r="U512" s="54">
        <f t="shared" si="444"/>
        <v>0</v>
      </c>
      <c r="V512" s="55">
        <f t="shared" si="444"/>
        <v>950</v>
      </c>
      <c r="W512" s="55">
        <f t="shared" si="444"/>
        <v>0</v>
      </c>
      <c r="X512" s="55">
        <f t="shared" si="444"/>
        <v>0</v>
      </c>
      <c r="Y512" s="55">
        <f t="shared" si="444"/>
        <v>0</v>
      </c>
      <c r="Z512" s="55">
        <f t="shared" si="444"/>
        <v>0</v>
      </c>
      <c r="AA512" s="55">
        <f t="shared" si="444"/>
        <v>0</v>
      </c>
      <c r="AB512" s="55">
        <f t="shared" si="444"/>
        <v>0</v>
      </c>
      <c r="AC512" s="56">
        <f t="shared" si="444"/>
        <v>0</v>
      </c>
      <c r="AD512" s="264">
        <f>SUM(AD513:AD513)</f>
        <v>0</v>
      </c>
      <c r="AE512" s="265">
        <f t="shared" si="404"/>
        <v>0</v>
      </c>
      <c r="AF512" s="266">
        <f t="shared" si="405"/>
        <v>0</v>
      </c>
      <c r="AG512" s="267">
        <f t="shared" si="444"/>
        <v>0</v>
      </c>
      <c r="AH512" s="268">
        <f t="shared" si="444"/>
        <v>0</v>
      </c>
      <c r="AI512" s="268">
        <f t="shared" si="444"/>
        <v>0</v>
      </c>
      <c r="AJ512" s="268">
        <f t="shared" si="444"/>
        <v>0</v>
      </c>
      <c r="AK512" s="268">
        <f t="shared" si="444"/>
        <v>0</v>
      </c>
      <c r="AL512" s="268">
        <f t="shared" si="444"/>
        <v>0</v>
      </c>
      <c r="AM512" s="268">
        <f t="shared" si="444"/>
        <v>0</v>
      </c>
      <c r="AN512" s="268">
        <f t="shared" si="444"/>
        <v>0</v>
      </c>
      <c r="AO512" s="269">
        <f t="shared" si="444"/>
        <v>0</v>
      </c>
      <c r="AP512" s="33">
        <v>0</v>
      </c>
      <c r="AQ512" s="33">
        <f>SUM(AQ513:AQ513)</f>
        <v>0</v>
      </c>
      <c r="AR512" s="127"/>
      <c r="AS512" s="108">
        <f t="shared" si="394"/>
        <v>1</v>
      </c>
      <c r="AT512" s="249">
        <f t="shared" si="395"/>
        <v>1</v>
      </c>
      <c r="AU512" s="249">
        <f t="shared" si="396"/>
        <v>0</v>
      </c>
      <c r="AV512" s="249">
        <f t="shared" si="397"/>
        <v>0</v>
      </c>
    </row>
    <row r="513" spans="1:48" outlineLevel="1" x14ac:dyDescent="0.25">
      <c r="A513" s="4" t="s">
        <v>494</v>
      </c>
      <c r="B513" s="75" t="s">
        <v>495</v>
      </c>
      <c r="C513" s="25"/>
      <c r="D513" s="92">
        <v>1</v>
      </c>
      <c r="E513" s="110">
        <v>950</v>
      </c>
      <c r="F513" s="93">
        <f>D513*E513</f>
        <v>950</v>
      </c>
      <c r="G513" s="74">
        <f t="shared" si="421"/>
        <v>0</v>
      </c>
      <c r="H513" s="95">
        <f t="shared" si="414"/>
        <v>950</v>
      </c>
      <c r="I513" s="112"/>
      <c r="J513" s="57">
        <v>950</v>
      </c>
      <c r="K513" s="57"/>
      <c r="L513" s="57"/>
      <c r="M513" s="57"/>
      <c r="N513" s="57"/>
      <c r="O513" s="57"/>
      <c r="P513" s="68"/>
      <c r="Q513" s="58"/>
      <c r="R513" s="93">
        <v>950</v>
      </c>
      <c r="S513" s="74">
        <f t="shared" si="443"/>
        <v>0</v>
      </c>
      <c r="T513" s="95">
        <f t="shared" si="403"/>
        <v>950</v>
      </c>
      <c r="U513" s="112"/>
      <c r="V513" s="57">
        <v>950</v>
      </c>
      <c r="W513" s="57"/>
      <c r="X513" s="57"/>
      <c r="Y513" s="57"/>
      <c r="Z513" s="57"/>
      <c r="AA513" s="57"/>
      <c r="AB513" s="68"/>
      <c r="AC513" s="58"/>
      <c r="AD513" s="170">
        <f>P513*Q513</f>
        <v>0</v>
      </c>
      <c r="AE513" s="89">
        <f t="shared" si="404"/>
        <v>0</v>
      </c>
      <c r="AF513" s="216">
        <f t="shared" si="405"/>
        <v>0</v>
      </c>
      <c r="AG513" s="147"/>
      <c r="AH513" s="148"/>
      <c r="AI513" s="148"/>
      <c r="AJ513" s="148"/>
      <c r="AK513" s="148"/>
      <c r="AL513" s="148"/>
      <c r="AM513" s="148"/>
      <c r="AN513" s="149"/>
      <c r="AO513" s="150"/>
      <c r="AP513" s="76"/>
      <c r="AQ513" s="76"/>
      <c r="AR513" s="128"/>
      <c r="AS513" s="108">
        <f t="shared" si="394"/>
        <v>1</v>
      </c>
      <c r="AT513" s="249">
        <f t="shared" si="395"/>
        <v>1</v>
      </c>
      <c r="AU513" s="249">
        <f t="shared" si="396"/>
        <v>0</v>
      </c>
      <c r="AV513" s="249">
        <f t="shared" si="397"/>
        <v>0</v>
      </c>
    </row>
    <row r="514" spans="1:48" s="2" customFormat="1" ht="21" x14ac:dyDescent="0.35">
      <c r="A514" s="8" t="s">
        <v>476</v>
      </c>
      <c r="B514" s="12" t="s">
        <v>457</v>
      </c>
      <c r="C514" s="21"/>
      <c r="D514" s="22"/>
      <c r="E514" s="15"/>
      <c r="F514" s="84">
        <f>F515+F520+F524+F527+F530</f>
        <v>8500</v>
      </c>
      <c r="G514" s="89">
        <f t="shared" si="421"/>
        <v>0</v>
      </c>
      <c r="H514" s="16">
        <f t="shared" si="414"/>
        <v>8500</v>
      </c>
      <c r="I514" s="51">
        <f t="shared" ref="I514:Q514" si="445">I515+I520+I524+I527+I530</f>
        <v>2500</v>
      </c>
      <c r="J514" s="51">
        <f t="shared" si="445"/>
        <v>6000</v>
      </c>
      <c r="K514" s="51">
        <f t="shared" si="445"/>
        <v>0</v>
      </c>
      <c r="L514" s="51">
        <f t="shared" si="445"/>
        <v>0</v>
      </c>
      <c r="M514" s="51">
        <f t="shared" si="445"/>
        <v>0</v>
      </c>
      <c r="N514" s="51">
        <f t="shared" si="445"/>
        <v>0</v>
      </c>
      <c r="O514" s="51">
        <f t="shared" si="445"/>
        <v>0</v>
      </c>
      <c r="P514" s="51">
        <f t="shared" si="445"/>
        <v>0</v>
      </c>
      <c r="Q514" s="59">
        <f t="shared" si="445"/>
        <v>0</v>
      </c>
      <c r="R514" s="84">
        <f>R515+R520+R524+R527+R530</f>
        <v>8500</v>
      </c>
      <c r="S514" s="89">
        <f t="shared" si="443"/>
        <v>0</v>
      </c>
      <c r="T514" s="16">
        <f t="shared" si="403"/>
        <v>8500</v>
      </c>
      <c r="U514" s="51">
        <f t="shared" ref="U514:AC514" si="446">U515+U520+U524+U527+U530</f>
        <v>2500</v>
      </c>
      <c r="V514" s="51">
        <f t="shared" si="446"/>
        <v>6000</v>
      </c>
      <c r="W514" s="51">
        <f t="shared" si="446"/>
        <v>0</v>
      </c>
      <c r="X514" s="51">
        <f t="shared" si="446"/>
        <v>0</v>
      </c>
      <c r="Y514" s="51">
        <f t="shared" si="446"/>
        <v>0</v>
      </c>
      <c r="Z514" s="51">
        <f t="shared" si="446"/>
        <v>0</v>
      </c>
      <c r="AA514" s="51">
        <f t="shared" si="446"/>
        <v>0</v>
      </c>
      <c r="AB514" s="51">
        <f t="shared" si="446"/>
        <v>0</v>
      </c>
      <c r="AC514" s="59">
        <f t="shared" si="446"/>
        <v>0</v>
      </c>
      <c r="AD514" s="255">
        <f>AD515+AD520+AD524+AD527+AD530</f>
        <v>1120.3699999999999</v>
      </c>
      <c r="AE514" s="256">
        <f t="shared" si="404"/>
        <v>-500.36999999999989</v>
      </c>
      <c r="AF514" s="257">
        <f t="shared" si="405"/>
        <v>620</v>
      </c>
      <c r="AG514" s="260">
        <f>AG515+AG520+AG524+AG527+AG530</f>
        <v>0</v>
      </c>
      <c r="AH514" s="262">
        <v>620</v>
      </c>
      <c r="AI514" s="260">
        <f t="shared" ref="AI514:AO514" si="447">AI515+AI520+AI524+AI527+AI530</f>
        <v>0</v>
      </c>
      <c r="AJ514" s="260">
        <f t="shared" si="447"/>
        <v>0</v>
      </c>
      <c r="AK514" s="260">
        <f t="shared" si="447"/>
        <v>0</v>
      </c>
      <c r="AL514" s="260">
        <f t="shared" si="447"/>
        <v>0</v>
      </c>
      <c r="AM514" s="260">
        <f t="shared" si="447"/>
        <v>0</v>
      </c>
      <c r="AN514" s="260">
        <f t="shared" si="447"/>
        <v>0</v>
      </c>
      <c r="AO514" s="261">
        <f t="shared" si="447"/>
        <v>0</v>
      </c>
      <c r="AP514" s="32">
        <f>+AP515+AP520+AP524+AP527+AP530</f>
        <v>6874</v>
      </c>
      <c r="AQ514" s="32">
        <f>AQ515+AQ520+AQ524+AQ527+AQ530</f>
        <v>7551.3700000000008</v>
      </c>
      <c r="AR514" s="126">
        <f>AQ514*100/AP514</f>
        <v>109.85408786732617</v>
      </c>
      <c r="AS514" s="108">
        <f t="shared" si="394"/>
        <v>1</v>
      </c>
      <c r="AT514" s="249">
        <f t="shared" si="395"/>
        <v>1</v>
      </c>
      <c r="AU514" s="249">
        <f t="shared" si="396"/>
        <v>0.13180823529411764</v>
      </c>
      <c r="AV514" s="249">
        <f t="shared" si="397"/>
        <v>7.2941176470588232E-2</v>
      </c>
    </row>
    <row r="515" spans="1:48" s="3" customFormat="1" ht="15.75" x14ac:dyDescent="0.25">
      <c r="A515" s="7" t="s">
        <v>478</v>
      </c>
      <c r="B515" s="13" t="s">
        <v>265</v>
      </c>
      <c r="C515" s="23"/>
      <c r="D515" s="24"/>
      <c r="E515" s="17"/>
      <c r="F515" s="82">
        <f>SUM(F516:F519)</f>
        <v>750</v>
      </c>
      <c r="G515" s="89">
        <f t="shared" si="421"/>
        <v>0</v>
      </c>
      <c r="H515" s="18">
        <f t="shared" si="414"/>
        <v>750</v>
      </c>
      <c r="I515" s="54">
        <f t="shared" ref="I515:Q515" si="448">SUM(I516:I519)</f>
        <v>750</v>
      </c>
      <c r="J515" s="55">
        <f t="shared" si="448"/>
        <v>0</v>
      </c>
      <c r="K515" s="55">
        <f t="shared" si="448"/>
        <v>0</v>
      </c>
      <c r="L515" s="55">
        <f t="shared" si="448"/>
        <v>0</v>
      </c>
      <c r="M515" s="55">
        <f>SUM(M516:M519)</f>
        <v>0</v>
      </c>
      <c r="N515" s="55">
        <f t="shared" si="448"/>
        <v>0</v>
      </c>
      <c r="O515" s="55">
        <f t="shared" si="448"/>
        <v>0</v>
      </c>
      <c r="P515" s="55">
        <f t="shared" si="448"/>
        <v>0</v>
      </c>
      <c r="Q515" s="56">
        <f t="shared" si="448"/>
        <v>0</v>
      </c>
      <c r="R515" s="82">
        <f>SUM(R516:R519)</f>
        <v>750</v>
      </c>
      <c r="S515" s="89">
        <f t="shared" si="443"/>
        <v>0</v>
      </c>
      <c r="T515" s="18">
        <f t="shared" si="403"/>
        <v>750</v>
      </c>
      <c r="U515" s="54">
        <f t="shared" ref="U515:AD515" si="449">SUM(U516:U519)</f>
        <v>750</v>
      </c>
      <c r="V515" s="55">
        <f t="shared" si="449"/>
        <v>0</v>
      </c>
      <c r="W515" s="55">
        <f t="shared" si="449"/>
        <v>0</v>
      </c>
      <c r="X515" s="55">
        <f t="shared" si="449"/>
        <v>0</v>
      </c>
      <c r="Y515" s="55">
        <f t="shared" si="449"/>
        <v>0</v>
      </c>
      <c r="Z515" s="55">
        <f t="shared" si="449"/>
        <v>0</v>
      </c>
      <c r="AA515" s="55">
        <f t="shared" si="449"/>
        <v>0</v>
      </c>
      <c r="AB515" s="55">
        <f t="shared" si="449"/>
        <v>0</v>
      </c>
      <c r="AC515" s="56">
        <f t="shared" si="449"/>
        <v>0</v>
      </c>
      <c r="AD515" s="264">
        <f t="shared" si="449"/>
        <v>200.89</v>
      </c>
      <c r="AE515" s="265">
        <f t="shared" si="404"/>
        <v>-200.89</v>
      </c>
      <c r="AF515" s="266">
        <f t="shared" si="405"/>
        <v>0</v>
      </c>
      <c r="AG515" s="267">
        <f t="shared" ref="AG515:AO515" si="450">SUM(AG516:AG519)</f>
        <v>0</v>
      </c>
      <c r="AH515" s="268">
        <f t="shared" si="450"/>
        <v>0</v>
      </c>
      <c r="AI515" s="268">
        <f t="shared" si="450"/>
        <v>0</v>
      </c>
      <c r="AJ515" s="268">
        <f t="shared" si="450"/>
        <v>0</v>
      </c>
      <c r="AK515" s="268">
        <f t="shared" si="450"/>
        <v>0</v>
      </c>
      <c r="AL515" s="268">
        <f t="shared" si="450"/>
        <v>0</v>
      </c>
      <c r="AM515" s="268">
        <f t="shared" si="450"/>
        <v>0</v>
      </c>
      <c r="AN515" s="268">
        <f t="shared" si="450"/>
        <v>0</v>
      </c>
      <c r="AO515" s="269">
        <f t="shared" si="450"/>
        <v>0</v>
      </c>
      <c r="AP515" s="33">
        <v>750</v>
      </c>
      <c r="AQ515" s="33">
        <f>28.08+8.53+631.32</f>
        <v>667.93000000000006</v>
      </c>
      <c r="AR515" s="127">
        <f>AQ515*100/AP515</f>
        <v>89.057333333333332</v>
      </c>
      <c r="AS515" s="108">
        <f t="shared" si="394"/>
        <v>1</v>
      </c>
      <c r="AT515" s="249">
        <f t="shared" si="395"/>
        <v>1</v>
      </c>
      <c r="AU515" s="249">
        <f t="shared" si="396"/>
        <v>0.26785333333333333</v>
      </c>
      <c r="AV515" s="249">
        <f t="shared" si="397"/>
        <v>0</v>
      </c>
    </row>
    <row r="516" spans="1:48" outlineLevel="1" x14ac:dyDescent="0.25">
      <c r="A516" s="5" t="s">
        <v>479</v>
      </c>
      <c r="B516" s="75" t="s">
        <v>281</v>
      </c>
      <c r="C516" s="25"/>
      <c r="D516" s="92">
        <v>1</v>
      </c>
      <c r="E516" s="110">
        <v>200</v>
      </c>
      <c r="F516" s="93">
        <f>D516*E516</f>
        <v>200</v>
      </c>
      <c r="G516" s="74">
        <f t="shared" si="421"/>
        <v>0</v>
      </c>
      <c r="H516" s="95">
        <f t="shared" si="414"/>
        <v>200</v>
      </c>
      <c r="I516" s="112">
        <v>200</v>
      </c>
      <c r="J516" s="57"/>
      <c r="K516" s="57"/>
      <c r="L516" s="57"/>
      <c r="M516" s="57"/>
      <c r="N516" s="57"/>
      <c r="O516" s="57"/>
      <c r="P516" s="68"/>
      <c r="Q516" s="58"/>
      <c r="R516" s="93">
        <v>200</v>
      </c>
      <c r="S516" s="74">
        <f t="shared" si="443"/>
        <v>0</v>
      </c>
      <c r="T516" s="95">
        <f t="shared" si="403"/>
        <v>200</v>
      </c>
      <c r="U516" s="112">
        <v>200</v>
      </c>
      <c r="V516" s="57"/>
      <c r="W516" s="57"/>
      <c r="X516" s="57"/>
      <c r="Y516" s="57"/>
      <c r="Z516" s="57"/>
      <c r="AA516" s="57"/>
      <c r="AB516" s="68"/>
      <c r="AC516" s="58"/>
      <c r="AD516" s="170">
        <v>104.41</v>
      </c>
      <c r="AE516" s="89">
        <f t="shared" si="404"/>
        <v>-104.41</v>
      </c>
      <c r="AF516" s="216">
        <f t="shared" si="405"/>
        <v>0</v>
      </c>
      <c r="AG516" s="147"/>
      <c r="AH516" s="148"/>
      <c r="AI516" s="148"/>
      <c r="AJ516" s="148"/>
      <c r="AK516" s="148"/>
      <c r="AL516" s="148"/>
      <c r="AM516" s="148"/>
      <c r="AN516" s="149"/>
      <c r="AO516" s="150"/>
      <c r="AP516" s="76"/>
      <c r="AQ516" s="76"/>
      <c r="AR516" s="128"/>
      <c r="AS516" s="108">
        <f t="shared" si="394"/>
        <v>1</v>
      </c>
      <c r="AT516" s="249">
        <f t="shared" si="395"/>
        <v>1</v>
      </c>
      <c r="AU516" s="249">
        <f t="shared" si="396"/>
        <v>0.52205000000000001</v>
      </c>
      <c r="AV516" s="249">
        <f t="shared" si="397"/>
        <v>0</v>
      </c>
    </row>
    <row r="517" spans="1:48" outlineLevel="1" x14ac:dyDescent="0.25">
      <c r="A517" s="4" t="s">
        <v>480</v>
      </c>
      <c r="B517" s="75" t="s">
        <v>309</v>
      </c>
      <c r="C517" s="25"/>
      <c r="D517" s="92">
        <v>4</v>
      </c>
      <c r="E517" s="110">
        <v>100</v>
      </c>
      <c r="F517" s="93">
        <f>D517*E517</f>
        <v>400</v>
      </c>
      <c r="G517" s="74">
        <f t="shared" si="421"/>
        <v>0</v>
      </c>
      <c r="H517" s="95">
        <f t="shared" si="414"/>
        <v>400</v>
      </c>
      <c r="I517" s="112">
        <v>400</v>
      </c>
      <c r="J517" s="57"/>
      <c r="K517" s="57"/>
      <c r="L517" s="57"/>
      <c r="M517" s="57"/>
      <c r="N517" s="57"/>
      <c r="O517" s="57"/>
      <c r="P517" s="68"/>
      <c r="Q517" s="58"/>
      <c r="R517" s="93">
        <v>400</v>
      </c>
      <c r="S517" s="74">
        <f t="shared" si="443"/>
        <v>0</v>
      </c>
      <c r="T517" s="95">
        <f t="shared" si="403"/>
        <v>400</v>
      </c>
      <c r="U517" s="112">
        <v>400</v>
      </c>
      <c r="V517" s="57"/>
      <c r="W517" s="57"/>
      <c r="X517" s="57"/>
      <c r="Y517" s="57"/>
      <c r="Z517" s="57"/>
      <c r="AA517" s="57"/>
      <c r="AB517" s="68"/>
      <c r="AC517" s="58"/>
      <c r="AD517" s="170">
        <v>96.48</v>
      </c>
      <c r="AE517" s="89">
        <f t="shared" si="404"/>
        <v>-96.48</v>
      </c>
      <c r="AF517" s="216">
        <f t="shared" si="405"/>
        <v>0</v>
      </c>
      <c r="AG517" s="147"/>
      <c r="AH517" s="148"/>
      <c r="AI517" s="148"/>
      <c r="AJ517" s="148"/>
      <c r="AK517" s="148"/>
      <c r="AL517" s="148"/>
      <c r="AM517" s="148"/>
      <c r="AN517" s="149"/>
      <c r="AO517" s="150"/>
      <c r="AP517" s="76"/>
      <c r="AQ517" s="76"/>
      <c r="AR517" s="128"/>
      <c r="AS517" s="108">
        <f t="shared" ref="AS517:AS580" si="451">+R517/F517</f>
        <v>1</v>
      </c>
      <c r="AT517" s="249">
        <f t="shared" ref="AT517:AT580" si="452">+T517/H517</f>
        <v>1</v>
      </c>
      <c r="AU517" s="249">
        <f t="shared" ref="AU517:AU580" si="453">+AD517/F517</f>
        <v>0.2412</v>
      </c>
      <c r="AV517" s="249">
        <f t="shared" ref="AV517:AV580" si="454">+AF517/H517</f>
        <v>0</v>
      </c>
    </row>
    <row r="518" spans="1:48" outlineLevel="1" x14ac:dyDescent="0.25">
      <c r="A518" s="4" t="s">
        <v>481</v>
      </c>
      <c r="B518" s="75" t="s">
        <v>285</v>
      </c>
      <c r="C518" s="25"/>
      <c r="D518" s="92">
        <v>1</v>
      </c>
      <c r="E518" s="110">
        <v>150</v>
      </c>
      <c r="F518" s="93">
        <f>D518*E518</f>
        <v>150</v>
      </c>
      <c r="G518" s="74">
        <f t="shared" si="421"/>
        <v>0</v>
      </c>
      <c r="H518" s="95">
        <f t="shared" si="414"/>
        <v>150</v>
      </c>
      <c r="I518" s="112">
        <v>150</v>
      </c>
      <c r="J518" s="57"/>
      <c r="K518" s="57"/>
      <c r="L518" s="57"/>
      <c r="M518" s="57"/>
      <c r="N518" s="57"/>
      <c r="O518" s="57"/>
      <c r="P518" s="68"/>
      <c r="Q518" s="58"/>
      <c r="R518" s="93">
        <v>150</v>
      </c>
      <c r="S518" s="74">
        <f t="shared" si="443"/>
        <v>0</v>
      </c>
      <c r="T518" s="95">
        <f t="shared" si="403"/>
        <v>150</v>
      </c>
      <c r="U518" s="112">
        <v>150</v>
      </c>
      <c r="V518" s="57"/>
      <c r="W518" s="57"/>
      <c r="X518" s="57"/>
      <c r="Y518" s="57"/>
      <c r="Z518" s="57"/>
      <c r="AA518" s="57"/>
      <c r="AB518" s="68"/>
      <c r="AC518" s="58"/>
      <c r="AD518" s="170">
        <f>P518*Q518</f>
        <v>0</v>
      </c>
      <c r="AE518" s="89">
        <f t="shared" si="404"/>
        <v>0</v>
      </c>
      <c r="AF518" s="216">
        <f t="shared" si="405"/>
        <v>0</v>
      </c>
      <c r="AG518" s="147"/>
      <c r="AH518" s="148"/>
      <c r="AI518" s="148"/>
      <c r="AJ518" s="148"/>
      <c r="AK518" s="148"/>
      <c r="AL518" s="148"/>
      <c r="AM518" s="148"/>
      <c r="AN518" s="149"/>
      <c r="AO518" s="150"/>
      <c r="AP518" s="76"/>
      <c r="AQ518" s="76"/>
      <c r="AR518" s="128"/>
      <c r="AS518" s="108">
        <f t="shared" si="451"/>
        <v>1</v>
      </c>
      <c r="AT518" s="249">
        <f t="shared" si="452"/>
        <v>1</v>
      </c>
      <c r="AU518" s="249">
        <f t="shared" si="453"/>
        <v>0</v>
      </c>
      <c r="AV518" s="249">
        <f t="shared" si="454"/>
        <v>0</v>
      </c>
    </row>
    <row r="519" spans="1:48" outlineLevel="1" x14ac:dyDescent="0.25">
      <c r="A519" s="4" t="s">
        <v>1148</v>
      </c>
      <c r="B519" s="75" t="s">
        <v>47</v>
      </c>
      <c r="C519" s="25"/>
      <c r="D519" s="92"/>
      <c r="E519" s="110"/>
      <c r="F519" s="93">
        <f>D519*E519</f>
        <v>0</v>
      </c>
      <c r="G519" s="74">
        <f t="shared" si="421"/>
        <v>0</v>
      </c>
      <c r="H519" s="95">
        <f t="shared" si="414"/>
        <v>0</v>
      </c>
      <c r="I519" s="112"/>
      <c r="J519" s="57"/>
      <c r="K519" s="57"/>
      <c r="L519" s="57"/>
      <c r="M519" s="57"/>
      <c r="N519" s="57"/>
      <c r="O519" s="57"/>
      <c r="P519" s="68"/>
      <c r="Q519" s="58"/>
      <c r="R519" s="93">
        <v>0</v>
      </c>
      <c r="S519" s="74">
        <f t="shared" si="443"/>
        <v>0</v>
      </c>
      <c r="T519" s="95">
        <f t="shared" si="403"/>
        <v>0</v>
      </c>
      <c r="U519" s="112"/>
      <c r="V519" s="57"/>
      <c r="W519" s="57"/>
      <c r="X519" s="57"/>
      <c r="Y519" s="57"/>
      <c r="Z519" s="57"/>
      <c r="AA519" s="57"/>
      <c r="AB519" s="68"/>
      <c r="AC519" s="58"/>
      <c r="AD519" s="170">
        <f>P519*Q519</f>
        <v>0</v>
      </c>
      <c r="AE519" s="89">
        <f t="shared" si="404"/>
        <v>0</v>
      </c>
      <c r="AF519" s="216">
        <f t="shared" si="405"/>
        <v>0</v>
      </c>
      <c r="AG519" s="147"/>
      <c r="AH519" s="148"/>
      <c r="AI519" s="148"/>
      <c r="AJ519" s="148"/>
      <c r="AK519" s="148"/>
      <c r="AL519" s="148"/>
      <c r="AM519" s="148"/>
      <c r="AN519" s="149"/>
      <c r="AO519" s="150"/>
      <c r="AP519" s="76"/>
      <c r="AQ519" s="76"/>
      <c r="AR519" s="128"/>
      <c r="AS519" s="108"/>
      <c r="AT519" s="249"/>
      <c r="AU519" s="249"/>
      <c r="AV519" s="249"/>
    </row>
    <row r="520" spans="1:48" s="3" customFormat="1" ht="15.75" x14ac:dyDescent="0.25">
      <c r="A520" s="7" t="s">
        <v>483</v>
      </c>
      <c r="B520" s="13" t="s">
        <v>248</v>
      </c>
      <c r="C520" s="23"/>
      <c r="D520" s="24"/>
      <c r="E520" s="17"/>
      <c r="F520" s="82">
        <f>SUM(F521:F523)</f>
        <v>6150</v>
      </c>
      <c r="G520" s="89">
        <f t="shared" si="421"/>
        <v>0</v>
      </c>
      <c r="H520" s="18">
        <f t="shared" si="414"/>
        <v>6150</v>
      </c>
      <c r="I520" s="54">
        <f t="shared" ref="I520:Q520" si="455">SUM(I521:I523)</f>
        <v>750</v>
      </c>
      <c r="J520" s="55">
        <f t="shared" si="455"/>
        <v>5400</v>
      </c>
      <c r="K520" s="55">
        <f t="shared" si="455"/>
        <v>0</v>
      </c>
      <c r="L520" s="55">
        <f t="shared" si="455"/>
        <v>0</v>
      </c>
      <c r="M520" s="55">
        <f t="shared" si="455"/>
        <v>0</v>
      </c>
      <c r="N520" s="55">
        <f t="shared" si="455"/>
        <v>0</v>
      </c>
      <c r="O520" s="55">
        <f t="shared" si="455"/>
        <v>0</v>
      </c>
      <c r="P520" s="55">
        <f t="shared" si="455"/>
        <v>0</v>
      </c>
      <c r="Q520" s="56">
        <f t="shared" si="455"/>
        <v>0</v>
      </c>
      <c r="R520" s="82">
        <f>SUM(R521:R523)</f>
        <v>6150</v>
      </c>
      <c r="S520" s="89">
        <f t="shared" si="443"/>
        <v>0</v>
      </c>
      <c r="T520" s="18">
        <f t="shared" si="403"/>
        <v>6150</v>
      </c>
      <c r="U520" s="54">
        <f t="shared" ref="U520:AC520" si="456">SUM(U521:U523)</f>
        <v>750</v>
      </c>
      <c r="V520" s="55">
        <f t="shared" si="456"/>
        <v>5400</v>
      </c>
      <c r="W520" s="55">
        <f t="shared" si="456"/>
        <v>0</v>
      </c>
      <c r="X520" s="55">
        <f t="shared" si="456"/>
        <v>0</v>
      </c>
      <c r="Y520" s="55">
        <f t="shared" si="456"/>
        <v>0</v>
      </c>
      <c r="Z520" s="55">
        <f t="shared" si="456"/>
        <v>0</v>
      </c>
      <c r="AA520" s="55">
        <f t="shared" si="456"/>
        <v>0</v>
      </c>
      <c r="AB520" s="55">
        <f t="shared" si="456"/>
        <v>0</v>
      </c>
      <c r="AC520" s="56">
        <f t="shared" si="456"/>
        <v>0</v>
      </c>
      <c r="AD520" s="264">
        <f>SUM(AD521:AD523)</f>
        <v>198.74</v>
      </c>
      <c r="AE520" s="265">
        <f t="shared" si="404"/>
        <v>-198.74</v>
      </c>
      <c r="AF520" s="266">
        <f t="shared" si="405"/>
        <v>0</v>
      </c>
      <c r="AG520" s="267">
        <f t="shared" ref="AG520:AO520" si="457">SUM(AG521:AG523)</f>
        <v>0</v>
      </c>
      <c r="AH520" s="268">
        <f t="shared" si="457"/>
        <v>0</v>
      </c>
      <c r="AI520" s="268">
        <f t="shared" si="457"/>
        <v>0</v>
      </c>
      <c r="AJ520" s="268">
        <f t="shared" si="457"/>
        <v>0</v>
      </c>
      <c r="AK520" s="268">
        <f t="shared" si="457"/>
        <v>0</v>
      </c>
      <c r="AL520" s="268">
        <f t="shared" si="457"/>
        <v>0</v>
      </c>
      <c r="AM520" s="268">
        <f t="shared" si="457"/>
        <v>0</v>
      </c>
      <c r="AN520" s="268">
        <f t="shared" si="457"/>
        <v>0</v>
      </c>
      <c r="AO520" s="269">
        <f t="shared" si="457"/>
        <v>0</v>
      </c>
      <c r="AP520" s="33">
        <v>6124</v>
      </c>
      <c r="AQ520" s="33">
        <f>475.49+2922.11+373.8+572.99+738.96+499</f>
        <v>5582.35</v>
      </c>
      <c r="AR520" s="127">
        <f>AQ520*100/AP520</f>
        <v>91.155290659699546</v>
      </c>
      <c r="AS520" s="108">
        <f t="shared" si="451"/>
        <v>1</v>
      </c>
      <c r="AT520" s="249">
        <f t="shared" si="452"/>
        <v>1</v>
      </c>
      <c r="AU520" s="249">
        <f t="shared" si="453"/>
        <v>3.2315447154471544E-2</v>
      </c>
      <c r="AV520" s="249">
        <f t="shared" si="454"/>
        <v>0</v>
      </c>
    </row>
    <row r="521" spans="1:48" outlineLevel="1" x14ac:dyDescent="0.25">
      <c r="A521" s="4" t="s">
        <v>484</v>
      </c>
      <c r="B521" s="75" t="s">
        <v>248</v>
      </c>
      <c r="C521" s="25"/>
      <c r="D521" s="92">
        <v>1</v>
      </c>
      <c r="E521" s="110">
        <v>5400</v>
      </c>
      <c r="F521" s="93">
        <f>D521*E521</f>
        <v>5400</v>
      </c>
      <c r="G521" s="74">
        <f t="shared" si="421"/>
        <v>0</v>
      </c>
      <c r="H521" s="95">
        <f t="shared" si="414"/>
        <v>5400</v>
      </c>
      <c r="I521" s="112"/>
      <c r="J521" s="57">
        <f>F521</f>
        <v>5400</v>
      </c>
      <c r="K521" s="57"/>
      <c r="L521" s="57"/>
      <c r="M521" s="57"/>
      <c r="N521" s="57"/>
      <c r="O521" s="57"/>
      <c r="P521" s="68"/>
      <c r="Q521" s="58"/>
      <c r="R521" s="93">
        <v>5400</v>
      </c>
      <c r="S521" s="74">
        <f t="shared" si="443"/>
        <v>0</v>
      </c>
      <c r="T521" s="95">
        <f t="shared" si="403"/>
        <v>5400</v>
      </c>
      <c r="U521" s="112"/>
      <c r="V521" s="57">
        <f>R521</f>
        <v>5400</v>
      </c>
      <c r="W521" s="57"/>
      <c r="X521" s="57"/>
      <c r="Y521" s="57"/>
      <c r="Z521" s="57"/>
      <c r="AA521" s="57"/>
      <c r="AB521" s="68"/>
      <c r="AC521" s="58"/>
      <c r="AD521" s="170">
        <v>198.74</v>
      </c>
      <c r="AE521" s="89">
        <f t="shared" si="404"/>
        <v>-198.74</v>
      </c>
      <c r="AF521" s="216">
        <f t="shared" si="405"/>
        <v>0</v>
      </c>
      <c r="AG521" s="147"/>
      <c r="AH521" s="148">
        <f>O521</f>
        <v>0</v>
      </c>
      <c r="AI521" s="148"/>
      <c r="AJ521" s="148"/>
      <c r="AK521" s="148"/>
      <c r="AL521" s="148"/>
      <c r="AM521" s="148"/>
      <c r="AN521" s="149"/>
      <c r="AO521" s="150"/>
      <c r="AP521" s="76"/>
      <c r="AQ521" s="76"/>
      <c r="AR521" s="128"/>
      <c r="AS521" s="108">
        <f t="shared" si="451"/>
        <v>1</v>
      </c>
      <c r="AT521" s="249">
        <f t="shared" si="452"/>
        <v>1</v>
      </c>
      <c r="AU521" s="249">
        <f t="shared" si="453"/>
        <v>3.6803703703703707E-2</v>
      </c>
      <c r="AV521" s="249">
        <f t="shared" si="454"/>
        <v>0</v>
      </c>
    </row>
    <row r="522" spans="1:48" outlineLevel="1" x14ac:dyDescent="0.25">
      <c r="A522" s="4" t="s">
        <v>485</v>
      </c>
      <c r="B522" s="75" t="s">
        <v>837</v>
      </c>
      <c r="C522" s="25"/>
      <c r="D522" s="92">
        <v>1</v>
      </c>
      <c r="E522" s="110">
        <v>750</v>
      </c>
      <c r="F522" s="93">
        <f>D522*E522</f>
        <v>750</v>
      </c>
      <c r="G522" s="74">
        <f t="shared" si="421"/>
        <v>0</v>
      </c>
      <c r="H522" s="95">
        <f t="shared" si="414"/>
        <v>750</v>
      </c>
      <c r="I522" s="112">
        <v>750</v>
      </c>
      <c r="J522" s="57"/>
      <c r="K522" s="57"/>
      <c r="L522" s="57"/>
      <c r="M522" s="57"/>
      <c r="N522" s="57"/>
      <c r="O522" s="57"/>
      <c r="P522" s="68"/>
      <c r="Q522" s="58"/>
      <c r="R522" s="93">
        <v>750</v>
      </c>
      <c r="S522" s="74">
        <f t="shared" si="443"/>
        <v>0</v>
      </c>
      <c r="T522" s="95">
        <f t="shared" si="403"/>
        <v>750</v>
      </c>
      <c r="U522" s="112">
        <v>750</v>
      </c>
      <c r="V522" s="57"/>
      <c r="W522" s="57"/>
      <c r="X522" s="57"/>
      <c r="Y522" s="57"/>
      <c r="Z522" s="57"/>
      <c r="AA522" s="57"/>
      <c r="AB522" s="68"/>
      <c r="AC522" s="58"/>
      <c r="AD522" s="170">
        <f>P522*Q522</f>
        <v>0</v>
      </c>
      <c r="AE522" s="89">
        <f t="shared" si="404"/>
        <v>0</v>
      </c>
      <c r="AF522" s="216">
        <f t="shared" si="405"/>
        <v>0</v>
      </c>
      <c r="AG522" s="147"/>
      <c r="AH522" s="148"/>
      <c r="AI522" s="148"/>
      <c r="AJ522" s="148"/>
      <c r="AK522" s="148"/>
      <c r="AL522" s="148"/>
      <c r="AM522" s="148"/>
      <c r="AN522" s="149"/>
      <c r="AO522" s="150"/>
      <c r="AP522" s="76"/>
      <c r="AQ522" s="76"/>
      <c r="AR522" s="128"/>
      <c r="AS522" s="108">
        <f t="shared" si="451"/>
        <v>1</v>
      </c>
      <c r="AT522" s="249">
        <f t="shared" si="452"/>
        <v>1</v>
      </c>
      <c r="AU522" s="249">
        <f t="shared" si="453"/>
        <v>0</v>
      </c>
      <c r="AV522" s="249">
        <f t="shared" si="454"/>
        <v>0</v>
      </c>
    </row>
    <row r="523" spans="1:48" outlineLevel="1" x14ac:dyDescent="0.25">
      <c r="A523" s="4" t="s">
        <v>1149</v>
      </c>
      <c r="B523" s="75" t="s">
        <v>47</v>
      </c>
      <c r="C523" s="25"/>
      <c r="D523" s="92"/>
      <c r="E523" s="110"/>
      <c r="F523" s="93">
        <f>D523*E523</f>
        <v>0</v>
      </c>
      <c r="G523" s="74">
        <f t="shared" si="421"/>
        <v>0</v>
      </c>
      <c r="H523" s="95">
        <f t="shared" si="414"/>
        <v>0</v>
      </c>
      <c r="I523" s="112"/>
      <c r="J523" s="57"/>
      <c r="K523" s="57"/>
      <c r="L523" s="57"/>
      <c r="M523" s="57"/>
      <c r="N523" s="57"/>
      <c r="O523" s="57"/>
      <c r="P523" s="68"/>
      <c r="Q523" s="58"/>
      <c r="R523" s="93">
        <f>P523*Q523</f>
        <v>0</v>
      </c>
      <c r="S523" s="74">
        <f t="shared" si="443"/>
        <v>0</v>
      </c>
      <c r="T523" s="95">
        <f t="shared" si="403"/>
        <v>0</v>
      </c>
      <c r="U523" s="112"/>
      <c r="V523" s="57"/>
      <c r="W523" s="57"/>
      <c r="X523" s="57"/>
      <c r="Y523" s="57"/>
      <c r="Z523" s="57"/>
      <c r="AA523" s="57"/>
      <c r="AB523" s="68"/>
      <c r="AC523" s="58"/>
      <c r="AD523" s="170">
        <f>P523*Q523</f>
        <v>0</v>
      </c>
      <c r="AE523" s="89">
        <f t="shared" si="404"/>
        <v>0</v>
      </c>
      <c r="AF523" s="216">
        <f t="shared" si="405"/>
        <v>0</v>
      </c>
      <c r="AG523" s="147"/>
      <c r="AH523" s="148"/>
      <c r="AI523" s="148"/>
      <c r="AJ523" s="148"/>
      <c r="AK523" s="148"/>
      <c r="AL523" s="148"/>
      <c r="AM523" s="148"/>
      <c r="AN523" s="149"/>
      <c r="AO523" s="150"/>
      <c r="AP523" s="76"/>
      <c r="AQ523" s="76"/>
      <c r="AR523" s="128"/>
      <c r="AS523" s="108"/>
      <c r="AT523" s="249"/>
      <c r="AU523" s="249"/>
      <c r="AV523" s="249"/>
    </row>
    <row r="524" spans="1:48" s="3" customFormat="1" ht="15.75" x14ac:dyDescent="0.25">
      <c r="A524" s="7" t="s">
        <v>487</v>
      </c>
      <c r="B524" s="13" t="s">
        <v>666</v>
      </c>
      <c r="C524" s="23"/>
      <c r="D524" s="24"/>
      <c r="E524" s="17"/>
      <c r="F524" s="82">
        <f>SUM(F525:F525)</f>
        <v>0</v>
      </c>
      <c r="G524" s="89">
        <f t="shared" si="421"/>
        <v>0</v>
      </c>
      <c r="H524" s="18">
        <f t="shared" si="414"/>
        <v>0</v>
      </c>
      <c r="I524" s="54">
        <f t="shared" ref="I524:Q524" si="458">SUM(I525:I525)</f>
        <v>0</v>
      </c>
      <c r="J524" s="55">
        <f t="shared" si="458"/>
        <v>0</v>
      </c>
      <c r="K524" s="55">
        <f t="shared" si="458"/>
        <v>0</v>
      </c>
      <c r="L524" s="55">
        <f t="shared" si="458"/>
        <v>0</v>
      </c>
      <c r="M524" s="55">
        <f t="shared" si="458"/>
        <v>0</v>
      </c>
      <c r="N524" s="55">
        <f t="shared" si="458"/>
        <v>0</v>
      </c>
      <c r="O524" s="55">
        <f t="shared" si="458"/>
        <v>0</v>
      </c>
      <c r="P524" s="55">
        <f t="shared" si="458"/>
        <v>0</v>
      </c>
      <c r="Q524" s="56">
        <f t="shared" si="458"/>
        <v>0</v>
      </c>
      <c r="R524" s="82">
        <f>SUM(R525:R526)</f>
        <v>0</v>
      </c>
      <c r="S524" s="89">
        <f t="shared" si="443"/>
        <v>0</v>
      </c>
      <c r="T524" s="18">
        <f t="shared" si="403"/>
        <v>0</v>
      </c>
      <c r="U524" s="54">
        <f>SUM(U525:U526)</f>
        <v>0</v>
      </c>
      <c r="V524" s="54">
        <f t="shared" ref="V524:AC524" si="459">SUM(V525:V526)</f>
        <v>0</v>
      </c>
      <c r="W524" s="54">
        <f t="shared" si="459"/>
        <v>0</v>
      </c>
      <c r="X524" s="54">
        <f t="shared" si="459"/>
        <v>0</v>
      </c>
      <c r="Y524" s="54">
        <f t="shared" si="459"/>
        <v>0</v>
      </c>
      <c r="Z524" s="54">
        <f t="shared" si="459"/>
        <v>0</v>
      </c>
      <c r="AA524" s="54">
        <f t="shared" si="459"/>
        <v>0</v>
      </c>
      <c r="AB524" s="54">
        <f t="shared" si="459"/>
        <v>0</v>
      </c>
      <c r="AC524" s="54">
        <f t="shared" si="459"/>
        <v>0</v>
      </c>
      <c r="AD524" s="264">
        <f>SUM(AD525:AD526)</f>
        <v>667.45999999999992</v>
      </c>
      <c r="AE524" s="265">
        <f t="shared" si="404"/>
        <v>-667.45999999999992</v>
      </c>
      <c r="AF524" s="266">
        <f t="shared" si="405"/>
        <v>0</v>
      </c>
      <c r="AG524" s="267">
        <f>SUM(AG525:AG526)</f>
        <v>0</v>
      </c>
      <c r="AH524" s="267">
        <f t="shared" ref="AH524:AO524" si="460">SUM(AH525:AH526)</f>
        <v>0</v>
      </c>
      <c r="AI524" s="267">
        <f t="shared" si="460"/>
        <v>0</v>
      </c>
      <c r="AJ524" s="267">
        <f t="shared" si="460"/>
        <v>0</v>
      </c>
      <c r="AK524" s="267">
        <f t="shared" si="460"/>
        <v>0</v>
      </c>
      <c r="AL524" s="267">
        <f t="shared" si="460"/>
        <v>0</v>
      </c>
      <c r="AM524" s="267">
        <f t="shared" si="460"/>
        <v>0</v>
      </c>
      <c r="AN524" s="267">
        <f t="shared" si="460"/>
        <v>0</v>
      </c>
      <c r="AO524" s="267">
        <f t="shared" si="460"/>
        <v>0</v>
      </c>
      <c r="AP524" s="33">
        <v>0</v>
      </c>
      <c r="AQ524" s="33">
        <f>SUM(AQ525:AQ525)</f>
        <v>0</v>
      </c>
      <c r="AR524" s="127"/>
      <c r="AS524" s="108"/>
      <c r="AT524" s="249"/>
      <c r="AU524" s="249"/>
      <c r="AV524" s="249"/>
    </row>
    <row r="525" spans="1:48" outlineLevel="1" x14ac:dyDescent="0.25">
      <c r="A525" s="4" t="s">
        <v>488</v>
      </c>
      <c r="B525" s="75" t="s">
        <v>1150</v>
      </c>
      <c r="C525" s="25"/>
      <c r="D525" s="92"/>
      <c r="E525" s="110"/>
      <c r="F525" s="93">
        <f>D525*E525</f>
        <v>0</v>
      </c>
      <c r="G525" s="74">
        <f t="shared" si="421"/>
        <v>0</v>
      </c>
      <c r="H525" s="95">
        <f t="shared" si="414"/>
        <v>0</v>
      </c>
      <c r="I525" s="112"/>
      <c r="J525" s="57"/>
      <c r="K525" s="57"/>
      <c r="L525" s="57"/>
      <c r="M525" s="57"/>
      <c r="N525" s="57"/>
      <c r="O525" s="57"/>
      <c r="P525" s="68"/>
      <c r="Q525" s="58"/>
      <c r="R525" s="93">
        <f>P525*Q525</f>
        <v>0</v>
      </c>
      <c r="S525" s="74">
        <f t="shared" si="443"/>
        <v>0</v>
      </c>
      <c r="T525" s="95">
        <f t="shared" si="403"/>
        <v>0</v>
      </c>
      <c r="U525" s="112"/>
      <c r="V525" s="57"/>
      <c r="W525" s="57"/>
      <c r="X525" s="57"/>
      <c r="Y525" s="57"/>
      <c r="Z525" s="57"/>
      <c r="AA525" s="57"/>
      <c r="AB525" s="68"/>
      <c r="AC525" s="58"/>
      <c r="AD525" s="170">
        <f>623.06+44.4</f>
        <v>667.45999999999992</v>
      </c>
      <c r="AE525" s="89">
        <f t="shared" si="404"/>
        <v>-667.45999999999992</v>
      </c>
      <c r="AF525" s="216">
        <f t="shared" si="405"/>
        <v>0</v>
      </c>
      <c r="AG525" s="147"/>
      <c r="AH525" s="148"/>
      <c r="AI525" s="148"/>
      <c r="AJ525" s="148"/>
      <c r="AK525" s="148"/>
      <c r="AL525" s="148"/>
      <c r="AM525" s="148"/>
      <c r="AN525" s="149"/>
      <c r="AO525" s="150"/>
      <c r="AP525" s="76"/>
      <c r="AQ525" s="76"/>
      <c r="AR525" s="128"/>
      <c r="AS525" s="108"/>
      <c r="AT525" s="249"/>
      <c r="AU525" s="249"/>
      <c r="AV525" s="249"/>
    </row>
    <row r="526" spans="1:48" outlineLevel="1" x14ac:dyDescent="0.25">
      <c r="A526" s="4" t="s">
        <v>1151</v>
      </c>
      <c r="B526" s="75" t="s">
        <v>47</v>
      </c>
      <c r="C526" s="25"/>
      <c r="D526" s="92"/>
      <c r="E526" s="110"/>
      <c r="F526" s="93"/>
      <c r="G526" s="74"/>
      <c r="H526" s="95"/>
      <c r="I526" s="112"/>
      <c r="J526" s="57"/>
      <c r="K526" s="57"/>
      <c r="L526" s="57"/>
      <c r="M526" s="57"/>
      <c r="N526" s="57"/>
      <c r="O526" s="57"/>
      <c r="P526" s="68"/>
      <c r="Q526" s="58"/>
      <c r="R526" s="93"/>
      <c r="S526" s="74">
        <f t="shared" si="443"/>
        <v>0</v>
      </c>
      <c r="T526" s="95">
        <f t="shared" si="403"/>
        <v>0</v>
      </c>
      <c r="U526" s="112"/>
      <c r="V526" s="57"/>
      <c r="W526" s="57"/>
      <c r="X526" s="57"/>
      <c r="Y526" s="57"/>
      <c r="Z526" s="57"/>
      <c r="AA526" s="57"/>
      <c r="AB526" s="68"/>
      <c r="AC526" s="58"/>
      <c r="AD526" s="170"/>
      <c r="AE526" s="89">
        <f t="shared" si="404"/>
        <v>0</v>
      </c>
      <c r="AF526" s="216">
        <f t="shared" si="405"/>
        <v>0</v>
      </c>
      <c r="AG526" s="147"/>
      <c r="AH526" s="148"/>
      <c r="AI526" s="148"/>
      <c r="AJ526" s="148"/>
      <c r="AK526" s="148"/>
      <c r="AL526" s="148"/>
      <c r="AM526" s="148"/>
      <c r="AN526" s="149"/>
      <c r="AO526" s="150"/>
      <c r="AP526" s="176"/>
      <c r="AQ526" s="176"/>
      <c r="AR526" s="177"/>
      <c r="AS526" s="108"/>
      <c r="AT526" s="249"/>
      <c r="AU526" s="249"/>
      <c r="AV526" s="249"/>
    </row>
    <row r="527" spans="1:48" s="3" customFormat="1" ht="15.75" x14ac:dyDescent="0.25">
      <c r="A527" s="7" t="s">
        <v>489</v>
      </c>
      <c r="B527" s="13" t="s">
        <v>250</v>
      </c>
      <c r="C527" s="23"/>
      <c r="D527" s="24"/>
      <c r="E527" s="17"/>
      <c r="F527" s="82">
        <f>SUM(F528:F529)</f>
        <v>1000</v>
      </c>
      <c r="G527" s="89">
        <f t="shared" si="421"/>
        <v>0</v>
      </c>
      <c r="H527" s="18">
        <f t="shared" si="414"/>
        <v>1000</v>
      </c>
      <c r="I527" s="54">
        <f t="shared" ref="I527:Q527" si="461">SUM(I528:I529)</f>
        <v>1000</v>
      </c>
      <c r="J527" s="55">
        <f t="shared" si="461"/>
        <v>0</v>
      </c>
      <c r="K527" s="55">
        <f t="shared" si="461"/>
        <v>0</v>
      </c>
      <c r="L527" s="55">
        <f t="shared" si="461"/>
        <v>0</v>
      </c>
      <c r="M527" s="55">
        <f t="shared" si="461"/>
        <v>0</v>
      </c>
      <c r="N527" s="55">
        <f t="shared" si="461"/>
        <v>0</v>
      </c>
      <c r="O527" s="55">
        <f t="shared" si="461"/>
        <v>0</v>
      </c>
      <c r="P527" s="55">
        <f t="shared" si="461"/>
        <v>0</v>
      </c>
      <c r="Q527" s="56">
        <f t="shared" si="461"/>
        <v>0</v>
      </c>
      <c r="R527" s="82">
        <f>SUM(R528:R529)</f>
        <v>1000</v>
      </c>
      <c r="S527" s="89">
        <f t="shared" si="443"/>
        <v>0</v>
      </c>
      <c r="T527" s="18">
        <f t="shared" si="403"/>
        <v>1000</v>
      </c>
      <c r="U527" s="54">
        <f t="shared" ref="U527:AC527" si="462">SUM(U528:U529)</f>
        <v>1000</v>
      </c>
      <c r="V527" s="55">
        <f t="shared" si="462"/>
        <v>0</v>
      </c>
      <c r="W527" s="55">
        <f t="shared" si="462"/>
        <v>0</v>
      </c>
      <c r="X527" s="55">
        <f t="shared" si="462"/>
        <v>0</v>
      </c>
      <c r="Y527" s="55">
        <f t="shared" si="462"/>
        <v>0</v>
      </c>
      <c r="Z527" s="55">
        <f t="shared" si="462"/>
        <v>0</v>
      </c>
      <c r="AA527" s="55">
        <f t="shared" si="462"/>
        <v>0</v>
      </c>
      <c r="AB527" s="55">
        <f t="shared" si="462"/>
        <v>0</v>
      </c>
      <c r="AC527" s="56">
        <f t="shared" si="462"/>
        <v>0</v>
      </c>
      <c r="AD527" s="264">
        <f>SUM(AD528:AD529)</f>
        <v>53.28</v>
      </c>
      <c r="AE527" s="265">
        <f t="shared" si="404"/>
        <v>-53.28</v>
      </c>
      <c r="AF527" s="266">
        <f t="shared" si="405"/>
        <v>0</v>
      </c>
      <c r="AG527" s="267">
        <f t="shared" ref="AG527:AO527" si="463">SUM(AG528:AG529)</f>
        <v>0</v>
      </c>
      <c r="AH527" s="268">
        <f t="shared" si="463"/>
        <v>0</v>
      </c>
      <c r="AI527" s="268">
        <f t="shared" si="463"/>
        <v>0</v>
      </c>
      <c r="AJ527" s="268">
        <f t="shared" si="463"/>
        <v>0</v>
      </c>
      <c r="AK527" s="268">
        <f t="shared" si="463"/>
        <v>0</v>
      </c>
      <c r="AL527" s="268">
        <f t="shared" si="463"/>
        <v>0</v>
      </c>
      <c r="AM527" s="268">
        <f t="shared" si="463"/>
        <v>0</v>
      </c>
      <c r="AN527" s="268">
        <f t="shared" si="463"/>
        <v>0</v>
      </c>
      <c r="AO527" s="269">
        <f t="shared" si="463"/>
        <v>0</v>
      </c>
      <c r="AP527" s="33">
        <v>0</v>
      </c>
      <c r="AQ527" s="33">
        <f>907.17+384.74+9.18</f>
        <v>1301.0899999999999</v>
      </c>
      <c r="AR527" s="127"/>
      <c r="AS527" s="108">
        <f t="shared" si="451"/>
        <v>1</v>
      </c>
      <c r="AT527" s="249">
        <f t="shared" si="452"/>
        <v>1</v>
      </c>
      <c r="AU527" s="249">
        <f t="shared" si="453"/>
        <v>5.3280000000000001E-2</v>
      </c>
      <c r="AV527" s="249">
        <f t="shared" si="454"/>
        <v>0</v>
      </c>
    </row>
    <row r="528" spans="1:48" outlineLevel="1" x14ac:dyDescent="0.25">
      <c r="A528" s="4" t="s">
        <v>490</v>
      </c>
      <c r="B528" s="75" t="s">
        <v>861</v>
      </c>
      <c r="C528" s="25"/>
      <c r="D528" s="92">
        <v>1</v>
      </c>
      <c r="E528" s="110">
        <v>1000</v>
      </c>
      <c r="F528" s="93">
        <f>D528*E528</f>
        <v>1000</v>
      </c>
      <c r="G528" s="74">
        <f t="shared" si="421"/>
        <v>0</v>
      </c>
      <c r="H528" s="95">
        <f t="shared" si="414"/>
        <v>1000</v>
      </c>
      <c r="I528" s="112">
        <f>F528</f>
        <v>1000</v>
      </c>
      <c r="J528" s="57"/>
      <c r="K528" s="57"/>
      <c r="L528" s="57"/>
      <c r="M528" s="57"/>
      <c r="N528" s="57"/>
      <c r="O528" s="57"/>
      <c r="P528" s="68"/>
      <c r="Q528" s="58"/>
      <c r="R528" s="93">
        <v>1000</v>
      </c>
      <c r="S528" s="74">
        <f t="shared" si="443"/>
        <v>0</v>
      </c>
      <c r="T528" s="95">
        <f t="shared" si="403"/>
        <v>1000</v>
      </c>
      <c r="U528" s="112">
        <f>R528</f>
        <v>1000</v>
      </c>
      <c r="V528" s="57"/>
      <c r="W528" s="57"/>
      <c r="X528" s="57"/>
      <c r="Y528" s="57"/>
      <c r="Z528" s="57"/>
      <c r="AA528" s="57"/>
      <c r="AB528" s="68"/>
      <c r="AC528" s="58"/>
      <c r="AD528" s="170">
        <f>P528*Q528</f>
        <v>0</v>
      </c>
      <c r="AE528" s="89">
        <f t="shared" si="404"/>
        <v>0</v>
      </c>
      <c r="AF528" s="216">
        <f t="shared" si="405"/>
        <v>0</v>
      </c>
      <c r="AG528" s="147">
        <f>Q528</f>
        <v>0</v>
      </c>
      <c r="AH528" s="148"/>
      <c r="AI528" s="148"/>
      <c r="AJ528" s="148"/>
      <c r="AK528" s="148"/>
      <c r="AL528" s="148"/>
      <c r="AM528" s="148"/>
      <c r="AN528" s="149"/>
      <c r="AO528" s="150"/>
      <c r="AP528" s="76"/>
      <c r="AQ528" s="76"/>
      <c r="AR528" s="128"/>
      <c r="AS528" s="108">
        <f t="shared" si="451"/>
        <v>1</v>
      </c>
      <c r="AT528" s="249">
        <f t="shared" si="452"/>
        <v>1</v>
      </c>
      <c r="AU528" s="249">
        <f t="shared" si="453"/>
        <v>0</v>
      </c>
      <c r="AV528" s="249">
        <f t="shared" si="454"/>
        <v>0</v>
      </c>
    </row>
    <row r="529" spans="1:48" outlineLevel="1" x14ac:dyDescent="0.25">
      <c r="A529" s="4" t="s">
        <v>1152</v>
      </c>
      <c r="B529" s="75" t="s">
        <v>47</v>
      </c>
      <c r="C529" s="25"/>
      <c r="D529" s="92"/>
      <c r="E529" s="110"/>
      <c r="F529" s="93">
        <f>D529*E529</f>
        <v>0</v>
      </c>
      <c r="G529" s="74">
        <f t="shared" si="421"/>
        <v>0</v>
      </c>
      <c r="H529" s="95">
        <f t="shared" si="414"/>
        <v>0</v>
      </c>
      <c r="I529" s="112"/>
      <c r="J529" s="57"/>
      <c r="K529" s="57"/>
      <c r="L529" s="57"/>
      <c r="M529" s="57"/>
      <c r="N529" s="57"/>
      <c r="O529" s="57"/>
      <c r="P529" s="68"/>
      <c r="Q529" s="58"/>
      <c r="R529" s="93">
        <f>P529*Q529</f>
        <v>0</v>
      </c>
      <c r="S529" s="74">
        <f t="shared" si="443"/>
        <v>0</v>
      </c>
      <c r="T529" s="95">
        <f t="shared" si="403"/>
        <v>0</v>
      </c>
      <c r="U529" s="112"/>
      <c r="V529" s="57"/>
      <c r="W529" s="57"/>
      <c r="X529" s="57"/>
      <c r="Y529" s="57"/>
      <c r="Z529" s="57"/>
      <c r="AA529" s="57"/>
      <c r="AB529" s="68"/>
      <c r="AC529" s="58"/>
      <c r="AD529" s="170">
        <v>53.28</v>
      </c>
      <c r="AE529" s="89">
        <f t="shared" si="404"/>
        <v>-53.28</v>
      </c>
      <c r="AF529" s="216">
        <f t="shared" si="405"/>
        <v>0</v>
      </c>
      <c r="AG529" s="147"/>
      <c r="AH529" s="148"/>
      <c r="AI529" s="148"/>
      <c r="AJ529" s="148"/>
      <c r="AK529" s="148"/>
      <c r="AL529" s="148"/>
      <c r="AM529" s="148"/>
      <c r="AN529" s="149"/>
      <c r="AO529" s="150"/>
      <c r="AP529" s="76"/>
      <c r="AQ529" s="76"/>
      <c r="AR529" s="128"/>
      <c r="AS529" s="108"/>
      <c r="AT529" s="249"/>
      <c r="AU529" s="249"/>
      <c r="AV529" s="249"/>
    </row>
    <row r="530" spans="1:48" s="3" customFormat="1" ht="15.75" x14ac:dyDescent="0.25">
      <c r="A530" s="7" t="s">
        <v>492</v>
      </c>
      <c r="B530" s="13" t="s">
        <v>495</v>
      </c>
      <c r="C530" s="23"/>
      <c r="D530" s="24"/>
      <c r="E530" s="17"/>
      <c r="F530" s="82">
        <f>SUM(F531:F531)</f>
        <v>600</v>
      </c>
      <c r="G530" s="89">
        <f t="shared" si="421"/>
        <v>0</v>
      </c>
      <c r="H530" s="18">
        <f t="shared" si="414"/>
        <v>600</v>
      </c>
      <c r="I530" s="54">
        <f t="shared" ref="I530:AO530" si="464">SUM(I531:I531)</f>
        <v>0</v>
      </c>
      <c r="J530" s="55">
        <f t="shared" si="464"/>
        <v>600</v>
      </c>
      <c r="K530" s="55">
        <f t="shared" si="464"/>
        <v>0</v>
      </c>
      <c r="L530" s="55">
        <f t="shared" si="464"/>
        <v>0</v>
      </c>
      <c r="M530" s="55">
        <f t="shared" si="464"/>
        <v>0</v>
      </c>
      <c r="N530" s="55">
        <f t="shared" si="464"/>
        <v>0</v>
      </c>
      <c r="O530" s="55">
        <f t="shared" si="464"/>
        <v>0</v>
      </c>
      <c r="P530" s="55">
        <f t="shared" si="464"/>
        <v>0</v>
      </c>
      <c r="Q530" s="56">
        <f t="shared" si="464"/>
        <v>0</v>
      </c>
      <c r="R530" s="82">
        <f>SUM(R531:R531)</f>
        <v>600</v>
      </c>
      <c r="S530" s="89">
        <f t="shared" si="443"/>
        <v>0</v>
      </c>
      <c r="T530" s="18">
        <f t="shared" si="403"/>
        <v>600</v>
      </c>
      <c r="U530" s="54">
        <f t="shared" si="464"/>
        <v>0</v>
      </c>
      <c r="V530" s="55">
        <f t="shared" si="464"/>
        <v>600</v>
      </c>
      <c r="W530" s="55">
        <f t="shared" si="464"/>
        <v>0</v>
      </c>
      <c r="X530" s="55">
        <f t="shared" si="464"/>
        <v>0</v>
      </c>
      <c r="Y530" s="55">
        <f t="shared" si="464"/>
        <v>0</v>
      </c>
      <c r="Z530" s="55">
        <f t="shared" si="464"/>
        <v>0</v>
      </c>
      <c r="AA530" s="55">
        <f t="shared" si="464"/>
        <v>0</v>
      </c>
      <c r="AB530" s="55">
        <f t="shared" si="464"/>
        <v>0</v>
      </c>
      <c r="AC530" s="56">
        <f t="shared" si="464"/>
        <v>0</v>
      </c>
      <c r="AD530" s="264">
        <f>SUM(AD531:AD531)</f>
        <v>0</v>
      </c>
      <c r="AE530" s="265">
        <f t="shared" ref="AE530:AE595" si="465">AF530-AD530</f>
        <v>0</v>
      </c>
      <c r="AF530" s="266">
        <f t="shared" ref="AF530:AF595" si="466">+AG530+AH530+AI530+AJ530+AK530+AL530+AM530+AN530+AO530</f>
        <v>0</v>
      </c>
      <c r="AG530" s="267">
        <f t="shared" si="464"/>
        <v>0</v>
      </c>
      <c r="AH530" s="268">
        <f t="shared" si="464"/>
        <v>0</v>
      </c>
      <c r="AI530" s="268">
        <f t="shared" si="464"/>
        <v>0</v>
      </c>
      <c r="AJ530" s="268">
        <f t="shared" si="464"/>
        <v>0</v>
      </c>
      <c r="AK530" s="268">
        <f t="shared" si="464"/>
        <v>0</v>
      </c>
      <c r="AL530" s="268">
        <f t="shared" si="464"/>
        <v>0</v>
      </c>
      <c r="AM530" s="268">
        <f t="shared" si="464"/>
        <v>0</v>
      </c>
      <c r="AN530" s="268">
        <f t="shared" si="464"/>
        <v>0</v>
      </c>
      <c r="AO530" s="269">
        <f t="shared" si="464"/>
        <v>0</v>
      </c>
      <c r="AP530" s="33">
        <v>0</v>
      </c>
      <c r="AQ530" s="33">
        <f>SUM(AQ531:AQ531)</f>
        <v>0</v>
      </c>
      <c r="AR530" s="127"/>
      <c r="AS530" s="108">
        <f t="shared" si="451"/>
        <v>1</v>
      </c>
      <c r="AT530" s="249">
        <f t="shared" si="452"/>
        <v>1</v>
      </c>
      <c r="AU530" s="249">
        <f t="shared" si="453"/>
        <v>0</v>
      </c>
      <c r="AV530" s="249">
        <f t="shared" si="454"/>
        <v>0</v>
      </c>
    </row>
    <row r="531" spans="1:48" outlineLevel="1" x14ac:dyDescent="0.25">
      <c r="A531" s="4" t="s">
        <v>493</v>
      </c>
      <c r="B531" s="75" t="s">
        <v>495</v>
      </c>
      <c r="C531" s="25"/>
      <c r="D531" s="92">
        <v>1</v>
      </c>
      <c r="E531" s="110">
        <v>600</v>
      </c>
      <c r="F531" s="93">
        <f>D531*E531</f>
        <v>600</v>
      </c>
      <c r="G531" s="74">
        <f t="shared" si="421"/>
        <v>0</v>
      </c>
      <c r="H531" s="95">
        <f t="shared" si="414"/>
        <v>600</v>
      </c>
      <c r="I531" s="112"/>
      <c r="J531" s="57">
        <v>600</v>
      </c>
      <c r="K531" s="57"/>
      <c r="L531" s="57"/>
      <c r="M531" s="57"/>
      <c r="N531" s="57"/>
      <c r="O531" s="57"/>
      <c r="P531" s="68"/>
      <c r="Q531" s="58"/>
      <c r="R531" s="93">
        <v>600</v>
      </c>
      <c r="S531" s="74">
        <f t="shared" si="443"/>
        <v>0</v>
      </c>
      <c r="T531" s="95">
        <f t="shared" si="403"/>
        <v>600</v>
      </c>
      <c r="U531" s="112"/>
      <c r="V531" s="57">
        <v>600</v>
      </c>
      <c r="W531" s="57"/>
      <c r="X531" s="57"/>
      <c r="Y531" s="57"/>
      <c r="Z531" s="57"/>
      <c r="AA531" s="57"/>
      <c r="AB531" s="68"/>
      <c r="AC531" s="58"/>
      <c r="AD531" s="170">
        <f>P531*Q531</f>
        <v>0</v>
      </c>
      <c r="AE531" s="89">
        <f t="shared" si="465"/>
        <v>0</v>
      </c>
      <c r="AF531" s="216">
        <f t="shared" si="466"/>
        <v>0</v>
      </c>
      <c r="AG531" s="147"/>
      <c r="AH531" s="148"/>
      <c r="AI531" s="148"/>
      <c r="AJ531" s="148"/>
      <c r="AK531" s="148"/>
      <c r="AL531" s="148"/>
      <c r="AM531" s="148"/>
      <c r="AN531" s="149"/>
      <c r="AO531" s="150"/>
      <c r="AP531" s="76"/>
      <c r="AQ531" s="76"/>
      <c r="AR531" s="128"/>
      <c r="AS531" s="108">
        <f t="shared" si="451"/>
        <v>1</v>
      </c>
      <c r="AT531" s="249">
        <f t="shared" si="452"/>
        <v>1</v>
      </c>
      <c r="AU531" s="249">
        <f t="shared" si="453"/>
        <v>0</v>
      </c>
      <c r="AV531" s="249">
        <f t="shared" si="454"/>
        <v>0</v>
      </c>
    </row>
    <row r="532" spans="1:48" s="2" customFormat="1" ht="21" x14ac:dyDescent="0.35">
      <c r="A532" s="8" t="s">
        <v>619</v>
      </c>
      <c r="B532" s="12" t="s">
        <v>477</v>
      </c>
      <c r="C532" s="21"/>
      <c r="D532" s="22"/>
      <c r="E532" s="15"/>
      <c r="F532" s="84">
        <f>F533+F538+F555+F590+F594</f>
        <v>95800</v>
      </c>
      <c r="G532" s="89">
        <f t="shared" si="421"/>
        <v>0</v>
      </c>
      <c r="H532" s="16">
        <f t="shared" si="414"/>
        <v>95800</v>
      </c>
      <c r="I532" s="51">
        <f t="shared" ref="I532:Q532" si="467">I533+I538+I555+I590+I594</f>
        <v>8125</v>
      </c>
      <c r="J532" s="51">
        <f t="shared" si="467"/>
        <v>87675</v>
      </c>
      <c r="K532" s="51">
        <f t="shared" si="467"/>
        <v>0</v>
      </c>
      <c r="L532" s="51">
        <f t="shared" si="467"/>
        <v>0</v>
      </c>
      <c r="M532" s="51">
        <f t="shared" si="467"/>
        <v>0</v>
      </c>
      <c r="N532" s="51">
        <f t="shared" si="467"/>
        <v>0</v>
      </c>
      <c r="O532" s="51">
        <f t="shared" si="467"/>
        <v>0</v>
      </c>
      <c r="P532" s="51">
        <f t="shared" si="467"/>
        <v>0</v>
      </c>
      <c r="Q532" s="59">
        <f t="shared" si="467"/>
        <v>0</v>
      </c>
      <c r="R532" s="84">
        <f>R533+R538+R555+R590+R594</f>
        <v>95800</v>
      </c>
      <c r="S532" s="89">
        <f t="shared" si="443"/>
        <v>0</v>
      </c>
      <c r="T532" s="16">
        <f t="shared" ref="T532:T595" si="468">SUM(U532:AC532)</f>
        <v>95800</v>
      </c>
      <c r="U532" s="51">
        <f t="shared" ref="U532:AC532" si="469">U533+U538+U555+U590+U594</f>
        <v>8125</v>
      </c>
      <c r="V532" s="51">
        <f t="shared" si="469"/>
        <v>87675</v>
      </c>
      <c r="W532" s="51">
        <f t="shared" si="469"/>
        <v>0</v>
      </c>
      <c r="X532" s="51">
        <f t="shared" si="469"/>
        <v>0</v>
      </c>
      <c r="Y532" s="51">
        <f t="shared" si="469"/>
        <v>0</v>
      </c>
      <c r="Z532" s="51">
        <f t="shared" si="469"/>
        <v>0</v>
      </c>
      <c r="AA532" s="51">
        <f t="shared" si="469"/>
        <v>0</v>
      </c>
      <c r="AB532" s="51">
        <f t="shared" si="469"/>
        <v>0</v>
      </c>
      <c r="AC532" s="59">
        <f t="shared" si="469"/>
        <v>0</v>
      </c>
      <c r="AD532" s="255">
        <f>AD533+AD538+AD555+AD590+AD594</f>
        <v>12902.19</v>
      </c>
      <c r="AE532" s="256">
        <f t="shared" si="465"/>
        <v>99.989999999999782</v>
      </c>
      <c r="AF532" s="257">
        <f t="shared" si="466"/>
        <v>13002.18</v>
      </c>
      <c r="AG532" s="260">
        <f>AG533+AG538+AG555+AG590+AG594</f>
        <v>0</v>
      </c>
      <c r="AH532" s="262">
        <f>7484+72+1656+1872+1872+46.18</f>
        <v>13002.18</v>
      </c>
      <c r="AI532" s="260">
        <f t="shared" ref="AI532:AO532" si="470">AI533+AI538+AI555+AI590+AI594</f>
        <v>0</v>
      </c>
      <c r="AJ532" s="260">
        <f t="shared" si="470"/>
        <v>0</v>
      </c>
      <c r="AK532" s="260">
        <f t="shared" si="470"/>
        <v>0</v>
      </c>
      <c r="AL532" s="260">
        <f t="shared" si="470"/>
        <v>0</v>
      </c>
      <c r="AM532" s="260">
        <f t="shared" si="470"/>
        <v>0</v>
      </c>
      <c r="AN532" s="260">
        <f t="shared" si="470"/>
        <v>0</v>
      </c>
      <c r="AO532" s="261">
        <f t="shared" si="470"/>
        <v>0</v>
      </c>
      <c r="AP532" s="32">
        <f>+AP533+AP538+AP555+AP590+AP594</f>
        <v>27361</v>
      </c>
      <c r="AQ532" s="32">
        <f>AQ533+AQ538+AQ555+AQ590+AQ594</f>
        <v>25826.17</v>
      </c>
      <c r="AR532" s="126">
        <f>AQ532*100/AP532</f>
        <v>94.39044625561931</v>
      </c>
      <c r="AS532" s="108">
        <f t="shared" si="451"/>
        <v>1</v>
      </c>
      <c r="AT532" s="249">
        <f t="shared" si="452"/>
        <v>1</v>
      </c>
      <c r="AU532" s="249">
        <f t="shared" si="453"/>
        <v>0.13467839248434238</v>
      </c>
      <c r="AV532" s="249">
        <f t="shared" si="454"/>
        <v>0.13572212943632569</v>
      </c>
    </row>
    <row r="533" spans="1:48" s="3" customFormat="1" ht="15.75" x14ac:dyDescent="0.25">
      <c r="A533" s="7" t="s">
        <v>620</v>
      </c>
      <c r="B533" s="13" t="s">
        <v>265</v>
      </c>
      <c r="C533" s="23"/>
      <c r="D533" s="24"/>
      <c r="E533" s="17"/>
      <c r="F533" s="82">
        <f>SUM(F534:F537)</f>
        <v>1000</v>
      </c>
      <c r="G533" s="89">
        <f t="shared" si="421"/>
        <v>0</v>
      </c>
      <c r="H533" s="18">
        <f t="shared" si="414"/>
        <v>1000</v>
      </c>
      <c r="I533" s="54">
        <f t="shared" ref="I533:Q533" si="471">SUM(I534:I537)</f>
        <v>1000</v>
      </c>
      <c r="J533" s="55">
        <f t="shared" si="471"/>
        <v>0</v>
      </c>
      <c r="K533" s="55">
        <f t="shared" si="471"/>
        <v>0</v>
      </c>
      <c r="L533" s="55">
        <f t="shared" si="471"/>
        <v>0</v>
      </c>
      <c r="M533" s="55">
        <f>SUM(M534:M537)</f>
        <v>0</v>
      </c>
      <c r="N533" s="55">
        <f t="shared" si="471"/>
        <v>0</v>
      </c>
      <c r="O533" s="55">
        <f t="shared" si="471"/>
        <v>0</v>
      </c>
      <c r="P533" s="55">
        <f t="shared" si="471"/>
        <v>0</v>
      </c>
      <c r="Q533" s="56">
        <f t="shared" si="471"/>
        <v>0</v>
      </c>
      <c r="R533" s="82">
        <f>SUM(R534:R537)</f>
        <v>1000</v>
      </c>
      <c r="S533" s="89">
        <f t="shared" si="443"/>
        <v>0</v>
      </c>
      <c r="T533" s="18">
        <f t="shared" si="468"/>
        <v>1000</v>
      </c>
      <c r="U533" s="54">
        <f t="shared" ref="U533:AD533" si="472">SUM(U534:U537)</f>
        <v>1000</v>
      </c>
      <c r="V533" s="55">
        <f t="shared" si="472"/>
        <v>0</v>
      </c>
      <c r="W533" s="55">
        <f t="shared" si="472"/>
        <v>0</v>
      </c>
      <c r="X533" s="55">
        <f t="shared" si="472"/>
        <v>0</v>
      </c>
      <c r="Y533" s="55">
        <f t="shared" si="472"/>
        <v>0</v>
      </c>
      <c r="Z533" s="55">
        <f t="shared" si="472"/>
        <v>0</v>
      </c>
      <c r="AA533" s="55">
        <f t="shared" si="472"/>
        <v>0</v>
      </c>
      <c r="AB533" s="55">
        <f t="shared" si="472"/>
        <v>0</v>
      </c>
      <c r="AC533" s="56">
        <f t="shared" si="472"/>
        <v>0</v>
      </c>
      <c r="AD533" s="264">
        <f t="shared" si="472"/>
        <v>299.88</v>
      </c>
      <c r="AE533" s="265">
        <f t="shared" si="465"/>
        <v>-299.88</v>
      </c>
      <c r="AF533" s="266">
        <f t="shared" si="466"/>
        <v>0</v>
      </c>
      <c r="AG533" s="267">
        <f t="shared" ref="AG533:AO533" si="473">SUM(AG534:AG537)</f>
        <v>0</v>
      </c>
      <c r="AH533" s="268">
        <f t="shared" si="473"/>
        <v>0</v>
      </c>
      <c r="AI533" s="268">
        <f t="shared" si="473"/>
        <v>0</v>
      </c>
      <c r="AJ533" s="268">
        <f t="shared" si="473"/>
        <v>0</v>
      </c>
      <c r="AK533" s="268">
        <f t="shared" si="473"/>
        <v>0</v>
      </c>
      <c r="AL533" s="268">
        <f t="shared" si="473"/>
        <v>0</v>
      </c>
      <c r="AM533" s="268">
        <f t="shared" si="473"/>
        <v>0</v>
      </c>
      <c r="AN533" s="268">
        <f t="shared" si="473"/>
        <v>0</v>
      </c>
      <c r="AO533" s="269">
        <f t="shared" si="473"/>
        <v>0</v>
      </c>
      <c r="AP533" s="33">
        <v>1200</v>
      </c>
      <c r="AQ533" s="33">
        <v>1115.68</v>
      </c>
      <c r="AR533" s="127">
        <f>AQ533*100/AP533</f>
        <v>92.973333333333329</v>
      </c>
      <c r="AS533" s="108">
        <f t="shared" si="451"/>
        <v>1</v>
      </c>
      <c r="AT533" s="249">
        <f t="shared" si="452"/>
        <v>1</v>
      </c>
      <c r="AU533" s="249">
        <f t="shared" si="453"/>
        <v>0.29987999999999998</v>
      </c>
      <c r="AV533" s="249">
        <f t="shared" si="454"/>
        <v>0</v>
      </c>
    </row>
    <row r="534" spans="1:48" outlineLevel="1" x14ac:dyDescent="0.25">
      <c r="A534" s="5" t="s">
        <v>621</v>
      </c>
      <c r="B534" s="75" t="s">
        <v>281</v>
      </c>
      <c r="C534" s="25"/>
      <c r="D534" s="92">
        <v>1</v>
      </c>
      <c r="E534" s="110">
        <v>200</v>
      </c>
      <c r="F534" s="93">
        <f>D534*E534</f>
        <v>200</v>
      </c>
      <c r="G534" s="74">
        <f t="shared" si="421"/>
        <v>0</v>
      </c>
      <c r="H534" s="95">
        <f t="shared" si="414"/>
        <v>200</v>
      </c>
      <c r="I534" s="112">
        <v>200</v>
      </c>
      <c r="J534" s="57"/>
      <c r="K534" s="57"/>
      <c r="L534" s="57"/>
      <c r="M534" s="57"/>
      <c r="N534" s="57"/>
      <c r="O534" s="57"/>
      <c r="P534" s="68"/>
      <c r="Q534" s="58"/>
      <c r="R534" s="93">
        <v>200</v>
      </c>
      <c r="S534" s="74">
        <f t="shared" si="443"/>
        <v>0</v>
      </c>
      <c r="T534" s="95">
        <f t="shared" si="468"/>
        <v>200</v>
      </c>
      <c r="U534" s="112">
        <v>200</v>
      </c>
      <c r="V534" s="57"/>
      <c r="W534" s="57"/>
      <c r="X534" s="57"/>
      <c r="Y534" s="57"/>
      <c r="Z534" s="57"/>
      <c r="AA534" s="57"/>
      <c r="AB534" s="68"/>
      <c r="AC534" s="58"/>
      <c r="AD534" s="170">
        <f>P534*Q534</f>
        <v>0</v>
      </c>
      <c r="AE534" s="89">
        <f t="shared" si="465"/>
        <v>0</v>
      </c>
      <c r="AF534" s="216">
        <f t="shared" si="466"/>
        <v>0</v>
      </c>
      <c r="AG534" s="147"/>
      <c r="AH534" s="148"/>
      <c r="AI534" s="148"/>
      <c r="AJ534" s="148"/>
      <c r="AK534" s="148"/>
      <c r="AL534" s="148"/>
      <c r="AM534" s="148"/>
      <c r="AN534" s="149"/>
      <c r="AO534" s="150"/>
      <c r="AP534" s="76"/>
      <c r="AQ534" s="76"/>
      <c r="AR534" s="128"/>
      <c r="AS534" s="108">
        <f t="shared" si="451"/>
        <v>1</v>
      </c>
      <c r="AT534" s="249">
        <f t="shared" si="452"/>
        <v>1</v>
      </c>
      <c r="AU534" s="249">
        <f t="shared" si="453"/>
        <v>0</v>
      </c>
      <c r="AV534" s="249">
        <f t="shared" si="454"/>
        <v>0</v>
      </c>
    </row>
    <row r="535" spans="1:48" outlineLevel="1" x14ac:dyDescent="0.25">
      <c r="A535" s="4" t="s">
        <v>622</v>
      </c>
      <c r="B535" s="75" t="s">
        <v>309</v>
      </c>
      <c r="C535" s="25"/>
      <c r="D535" s="92">
        <v>4</v>
      </c>
      <c r="E535" s="110">
        <v>100</v>
      </c>
      <c r="F535" s="93">
        <f>D535*E535</f>
        <v>400</v>
      </c>
      <c r="G535" s="74">
        <f t="shared" si="421"/>
        <v>0</v>
      </c>
      <c r="H535" s="95">
        <f t="shared" si="414"/>
        <v>400</v>
      </c>
      <c r="I535" s="112">
        <v>400</v>
      </c>
      <c r="J535" s="57"/>
      <c r="K535" s="57"/>
      <c r="L535" s="57"/>
      <c r="M535" s="57"/>
      <c r="N535" s="57"/>
      <c r="O535" s="57"/>
      <c r="P535" s="68"/>
      <c r="Q535" s="58"/>
      <c r="R535" s="93">
        <v>400</v>
      </c>
      <c r="S535" s="74">
        <f t="shared" si="443"/>
        <v>0</v>
      </c>
      <c r="T535" s="95">
        <f t="shared" si="468"/>
        <v>400</v>
      </c>
      <c r="U535" s="112">
        <v>400</v>
      </c>
      <c r="V535" s="57"/>
      <c r="W535" s="57"/>
      <c r="X535" s="57"/>
      <c r="Y535" s="57"/>
      <c r="Z535" s="57"/>
      <c r="AA535" s="57"/>
      <c r="AB535" s="68"/>
      <c r="AC535" s="58"/>
      <c r="AD535" s="170">
        <v>134.63999999999999</v>
      </c>
      <c r="AE535" s="89">
        <f t="shared" si="465"/>
        <v>-134.63999999999999</v>
      </c>
      <c r="AF535" s="216">
        <f t="shared" si="466"/>
        <v>0</v>
      </c>
      <c r="AG535" s="147"/>
      <c r="AH535" s="148"/>
      <c r="AI535" s="148"/>
      <c r="AJ535" s="148"/>
      <c r="AK535" s="148"/>
      <c r="AL535" s="148"/>
      <c r="AM535" s="148"/>
      <c r="AN535" s="149"/>
      <c r="AO535" s="150"/>
      <c r="AP535" s="76"/>
      <c r="AQ535" s="76"/>
      <c r="AR535" s="128"/>
      <c r="AS535" s="108">
        <f t="shared" si="451"/>
        <v>1</v>
      </c>
      <c r="AT535" s="249">
        <f t="shared" si="452"/>
        <v>1</v>
      </c>
      <c r="AU535" s="249">
        <f t="shared" si="453"/>
        <v>0.33659999999999995</v>
      </c>
      <c r="AV535" s="249">
        <f t="shared" si="454"/>
        <v>0</v>
      </c>
    </row>
    <row r="536" spans="1:48" outlineLevel="1" x14ac:dyDescent="0.25">
      <c r="A536" s="4" t="s">
        <v>623</v>
      </c>
      <c r="B536" s="75" t="s">
        <v>285</v>
      </c>
      <c r="C536" s="25"/>
      <c r="D536" s="92">
        <v>8</v>
      </c>
      <c r="E536" s="110">
        <v>50</v>
      </c>
      <c r="F536" s="93">
        <f>D536*E536</f>
        <v>400</v>
      </c>
      <c r="G536" s="74">
        <f t="shared" si="421"/>
        <v>0</v>
      </c>
      <c r="H536" s="95">
        <f t="shared" si="414"/>
        <v>400</v>
      </c>
      <c r="I536" s="112">
        <v>400</v>
      </c>
      <c r="J536" s="57"/>
      <c r="K536" s="57"/>
      <c r="L536" s="57"/>
      <c r="M536" s="57"/>
      <c r="N536" s="57"/>
      <c r="O536" s="57"/>
      <c r="P536" s="68"/>
      <c r="Q536" s="58"/>
      <c r="R536" s="93">
        <v>400</v>
      </c>
      <c r="S536" s="74">
        <f t="shared" si="443"/>
        <v>0</v>
      </c>
      <c r="T536" s="95">
        <f t="shared" si="468"/>
        <v>400</v>
      </c>
      <c r="U536" s="112">
        <v>400</v>
      </c>
      <c r="V536" s="57"/>
      <c r="W536" s="57"/>
      <c r="X536" s="57"/>
      <c r="Y536" s="57"/>
      <c r="Z536" s="57"/>
      <c r="AA536" s="57"/>
      <c r="AB536" s="68"/>
      <c r="AC536" s="58"/>
      <c r="AD536" s="170">
        <v>165.24</v>
      </c>
      <c r="AE536" s="89">
        <f t="shared" si="465"/>
        <v>-165.24</v>
      </c>
      <c r="AF536" s="216">
        <f t="shared" si="466"/>
        <v>0</v>
      </c>
      <c r="AG536" s="147"/>
      <c r="AH536" s="148"/>
      <c r="AI536" s="148"/>
      <c r="AJ536" s="148"/>
      <c r="AK536" s="148"/>
      <c r="AL536" s="148"/>
      <c r="AM536" s="148"/>
      <c r="AN536" s="149"/>
      <c r="AO536" s="150"/>
      <c r="AP536" s="76"/>
      <c r="AQ536" s="76"/>
      <c r="AR536" s="128"/>
      <c r="AS536" s="108">
        <f t="shared" si="451"/>
        <v>1</v>
      </c>
      <c r="AT536" s="249">
        <f t="shared" si="452"/>
        <v>1</v>
      </c>
      <c r="AU536" s="249">
        <f t="shared" si="453"/>
        <v>0.41310000000000002</v>
      </c>
      <c r="AV536" s="249">
        <f t="shared" si="454"/>
        <v>0</v>
      </c>
    </row>
    <row r="537" spans="1:48" outlineLevel="1" x14ac:dyDescent="0.25">
      <c r="A537" s="4" t="s">
        <v>1153</v>
      </c>
      <c r="B537" s="75" t="s">
        <v>47</v>
      </c>
      <c r="C537" s="25"/>
      <c r="D537" s="92"/>
      <c r="E537" s="110"/>
      <c r="F537" s="93">
        <f>D537*E537</f>
        <v>0</v>
      </c>
      <c r="G537" s="74">
        <f t="shared" si="421"/>
        <v>0</v>
      </c>
      <c r="H537" s="95">
        <f t="shared" si="414"/>
        <v>0</v>
      </c>
      <c r="I537" s="112"/>
      <c r="J537" s="57"/>
      <c r="K537" s="57"/>
      <c r="L537" s="57"/>
      <c r="M537" s="57"/>
      <c r="N537" s="57"/>
      <c r="O537" s="57"/>
      <c r="P537" s="68"/>
      <c r="Q537" s="58"/>
      <c r="R537" s="93">
        <f>P537*Q537</f>
        <v>0</v>
      </c>
      <c r="S537" s="74">
        <f t="shared" si="443"/>
        <v>0</v>
      </c>
      <c r="T537" s="95">
        <f t="shared" si="468"/>
        <v>0</v>
      </c>
      <c r="U537" s="112"/>
      <c r="V537" s="57"/>
      <c r="W537" s="57"/>
      <c r="X537" s="57"/>
      <c r="Y537" s="57"/>
      <c r="Z537" s="57"/>
      <c r="AA537" s="57"/>
      <c r="AB537" s="68"/>
      <c r="AC537" s="58"/>
      <c r="AD537" s="170">
        <f>P537*Q537</f>
        <v>0</v>
      </c>
      <c r="AE537" s="89">
        <f t="shared" si="465"/>
        <v>0</v>
      </c>
      <c r="AF537" s="216">
        <f t="shared" si="466"/>
        <v>0</v>
      </c>
      <c r="AG537" s="147"/>
      <c r="AH537" s="148"/>
      <c r="AI537" s="148"/>
      <c r="AJ537" s="148"/>
      <c r="AK537" s="148"/>
      <c r="AL537" s="148"/>
      <c r="AM537" s="148"/>
      <c r="AN537" s="149"/>
      <c r="AO537" s="150"/>
      <c r="AP537" s="76"/>
      <c r="AQ537" s="76"/>
      <c r="AR537" s="128"/>
      <c r="AS537" s="108"/>
      <c r="AT537" s="249"/>
      <c r="AU537" s="249"/>
      <c r="AV537" s="249"/>
    </row>
    <row r="538" spans="1:48" s="3" customFormat="1" ht="15.75" x14ac:dyDescent="0.25">
      <c r="A538" s="7" t="s">
        <v>625</v>
      </c>
      <c r="B538" s="13" t="s">
        <v>248</v>
      </c>
      <c r="C538" s="23"/>
      <c r="D538" s="24"/>
      <c r="E538" s="17"/>
      <c r="F538" s="82">
        <f>SUM(F540:F554)</f>
        <v>28375</v>
      </c>
      <c r="G538" s="89">
        <f t="shared" si="421"/>
        <v>0</v>
      </c>
      <c r="H538" s="18">
        <f t="shared" si="414"/>
        <v>28375</v>
      </c>
      <c r="I538" s="54">
        <f t="shared" ref="I538:Q538" si="474">SUM(I540:I554)</f>
        <v>0</v>
      </c>
      <c r="J538" s="55">
        <f t="shared" si="474"/>
        <v>28375</v>
      </c>
      <c r="K538" s="55">
        <f t="shared" si="474"/>
        <v>0</v>
      </c>
      <c r="L538" s="55">
        <f t="shared" si="474"/>
        <v>0</v>
      </c>
      <c r="M538" s="55">
        <f t="shared" si="474"/>
        <v>0</v>
      </c>
      <c r="N538" s="55">
        <f t="shared" si="474"/>
        <v>0</v>
      </c>
      <c r="O538" s="55">
        <f t="shared" si="474"/>
        <v>0</v>
      </c>
      <c r="P538" s="55">
        <f t="shared" si="474"/>
        <v>0</v>
      </c>
      <c r="Q538" s="56">
        <f t="shared" si="474"/>
        <v>0</v>
      </c>
      <c r="R538" s="82">
        <f>SUM(R539:R554)</f>
        <v>28375</v>
      </c>
      <c r="S538" s="89">
        <f t="shared" si="443"/>
        <v>0</v>
      </c>
      <c r="T538" s="18">
        <f t="shared" si="468"/>
        <v>28375</v>
      </c>
      <c r="U538" s="54">
        <f>SUM(U539:U554)</f>
        <v>0</v>
      </c>
      <c r="V538" s="54">
        <f t="shared" ref="V538:AC538" si="475">SUM(V539:V554)</f>
        <v>28375</v>
      </c>
      <c r="W538" s="54">
        <f t="shared" si="475"/>
        <v>0</v>
      </c>
      <c r="X538" s="54">
        <f t="shared" si="475"/>
        <v>0</v>
      </c>
      <c r="Y538" s="54">
        <f t="shared" si="475"/>
        <v>0</v>
      </c>
      <c r="Z538" s="54">
        <f t="shared" si="475"/>
        <v>0</v>
      </c>
      <c r="AA538" s="54">
        <f t="shared" si="475"/>
        <v>0</v>
      </c>
      <c r="AB538" s="54">
        <f t="shared" si="475"/>
        <v>0</v>
      </c>
      <c r="AC538" s="54">
        <f t="shared" si="475"/>
        <v>0</v>
      </c>
      <c r="AD538" s="264">
        <f>SUM(AD539:AD554)</f>
        <v>231</v>
      </c>
      <c r="AE538" s="265">
        <f t="shared" si="465"/>
        <v>-231</v>
      </c>
      <c r="AF538" s="266">
        <f t="shared" si="466"/>
        <v>0</v>
      </c>
      <c r="AG538" s="267">
        <f>SUM(AG539:AG554)</f>
        <v>0</v>
      </c>
      <c r="AH538" s="267">
        <f t="shared" ref="AH538:AR538" si="476">SUM(AH539:AH554)</f>
        <v>0</v>
      </c>
      <c r="AI538" s="267">
        <f t="shared" si="476"/>
        <v>0</v>
      </c>
      <c r="AJ538" s="267">
        <f t="shared" si="476"/>
        <v>0</v>
      </c>
      <c r="AK538" s="267">
        <f t="shared" si="476"/>
        <v>0</v>
      </c>
      <c r="AL538" s="267">
        <f t="shared" si="476"/>
        <v>0</v>
      </c>
      <c r="AM538" s="267">
        <f t="shared" si="476"/>
        <v>0</v>
      </c>
      <c r="AN538" s="267">
        <f t="shared" si="476"/>
        <v>0</v>
      </c>
      <c r="AO538" s="267">
        <f t="shared" si="476"/>
        <v>0</v>
      </c>
      <c r="AP538" s="144">
        <f t="shared" si="476"/>
        <v>0</v>
      </c>
      <c r="AQ538" s="144">
        <f t="shared" si="476"/>
        <v>0</v>
      </c>
      <c r="AR538" s="144">
        <f t="shared" si="476"/>
        <v>0</v>
      </c>
      <c r="AS538" s="108">
        <f t="shared" si="451"/>
        <v>1</v>
      </c>
      <c r="AT538" s="249">
        <f t="shared" si="452"/>
        <v>1</v>
      </c>
      <c r="AU538" s="249">
        <f t="shared" si="453"/>
        <v>8.1409691629955941E-3</v>
      </c>
      <c r="AV538" s="249">
        <f t="shared" si="454"/>
        <v>0</v>
      </c>
    </row>
    <row r="539" spans="1:48" x14ac:dyDescent="0.25">
      <c r="A539" s="5" t="s">
        <v>1154</v>
      </c>
      <c r="B539" s="75" t="s">
        <v>1155</v>
      </c>
      <c r="C539" s="25"/>
      <c r="D539" s="92"/>
      <c r="E539" s="110"/>
      <c r="F539" s="93"/>
      <c r="G539" s="223"/>
      <c r="H539" s="95"/>
      <c r="I539" s="224"/>
      <c r="J539" s="110"/>
      <c r="K539" s="110"/>
      <c r="L539" s="110"/>
      <c r="M539" s="110"/>
      <c r="N539" s="110"/>
      <c r="O539" s="110"/>
      <c r="P539" s="93"/>
      <c r="Q539" s="225"/>
      <c r="R539" s="93"/>
      <c r="S539" s="89">
        <f t="shared" si="443"/>
        <v>0</v>
      </c>
      <c r="T539" s="95"/>
      <c r="U539" s="224"/>
      <c r="V539" s="110"/>
      <c r="W539" s="110"/>
      <c r="X539" s="110"/>
      <c r="Y539" s="110"/>
      <c r="Z539" s="110"/>
      <c r="AA539" s="110"/>
      <c r="AB539" s="93"/>
      <c r="AC539" s="225"/>
      <c r="AD539" s="93">
        <v>231</v>
      </c>
      <c r="AE539" s="89">
        <f t="shared" si="465"/>
        <v>-231</v>
      </c>
      <c r="AF539" s="216">
        <f t="shared" si="466"/>
        <v>0</v>
      </c>
      <c r="AG539" s="224"/>
      <c r="AH539" s="110"/>
      <c r="AI539" s="110"/>
      <c r="AJ539" s="110"/>
      <c r="AK539" s="110"/>
      <c r="AL539" s="110"/>
      <c r="AM539" s="110"/>
      <c r="AN539" s="93"/>
      <c r="AO539" s="225"/>
      <c r="AP539" s="176"/>
      <c r="AQ539" s="176"/>
      <c r="AR539" s="177"/>
      <c r="AS539" s="108"/>
      <c r="AT539" s="249"/>
      <c r="AU539" s="249"/>
      <c r="AV539" s="249"/>
    </row>
    <row r="540" spans="1:48" outlineLevel="1" x14ac:dyDescent="0.25">
      <c r="A540" s="4" t="s">
        <v>626</v>
      </c>
      <c r="B540" s="75" t="s">
        <v>750</v>
      </c>
      <c r="C540" s="25"/>
      <c r="D540" s="92">
        <v>0</v>
      </c>
      <c r="E540" s="110">
        <v>65</v>
      </c>
      <c r="F540" s="93">
        <f t="shared" ref="F540:F554" si="477">D540*E540</f>
        <v>0</v>
      </c>
      <c r="G540" s="74">
        <f t="shared" si="421"/>
        <v>0</v>
      </c>
      <c r="H540" s="95">
        <f t="shared" si="414"/>
        <v>0</v>
      </c>
      <c r="I540" s="112"/>
      <c r="J540" s="57">
        <f>F540</f>
        <v>0</v>
      </c>
      <c r="K540" s="57"/>
      <c r="L540" s="57"/>
      <c r="M540" s="57"/>
      <c r="N540" s="57"/>
      <c r="O540" s="57"/>
      <c r="P540" s="68"/>
      <c r="Q540" s="58"/>
      <c r="R540" s="93">
        <v>0</v>
      </c>
      <c r="S540" s="74">
        <f t="shared" si="443"/>
        <v>0</v>
      </c>
      <c r="T540" s="95">
        <f t="shared" si="468"/>
        <v>0</v>
      </c>
      <c r="U540" s="112"/>
      <c r="V540" s="57">
        <f>R540</f>
        <v>0</v>
      </c>
      <c r="W540" s="57"/>
      <c r="X540" s="57"/>
      <c r="Y540" s="57"/>
      <c r="Z540" s="57"/>
      <c r="AA540" s="57"/>
      <c r="AB540" s="68"/>
      <c r="AC540" s="58"/>
      <c r="AD540" s="170">
        <f t="shared" ref="AD540:AD553" si="478">P540*Q540</f>
        <v>0</v>
      </c>
      <c r="AE540" s="89">
        <f t="shared" si="465"/>
        <v>0</v>
      </c>
      <c r="AF540" s="216">
        <f t="shared" si="466"/>
        <v>0</v>
      </c>
      <c r="AG540" s="147"/>
      <c r="AH540" s="148">
        <f t="shared" ref="AH540:AH553" si="479">O540</f>
        <v>0</v>
      </c>
      <c r="AI540" s="148"/>
      <c r="AJ540" s="148"/>
      <c r="AK540" s="148"/>
      <c r="AL540" s="148"/>
      <c r="AM540" s="148"/>
      <c r="AN540" s="149"/>
      <c r="AO540" s="150"/>
      <c r="AP540" s="76"/>
      <c r="AQ540" s="76"/>
      <c r="AR540" s="128"/>
      <c r="AS540" s="108"/>
      <c r="AT540" s="249"/>
      <c r="AU540" s="249"/>
      <c r="AV540" s="249"/>
    </row>
    <row r="541" spans="1:48" outlineLevel="1" x14ac:dyDescent="0.25">
      <c r="A541" s="4" t="s">
        <v>627</v>
      </c>
      <c r="B541" s="75" t="s">
        <v>752</v>
      </c>
      <c r="C541" s="25"/>
      <c r="D541" s="92">
        <v>25</v>
      </c>
      <c r="E541" s="110">
        <v>65</v>
      </c>
      <c r="F541" s="93">
        <f t="shared" si="477"/>
        <v>1625</v>
      </c>
      <c r="G541" s="74">
        <f t="shared" si="421"/>
        <v>0</v>
      </c>
      <c r="H541" s="95">
        <f t="shared" si="414"/>
        <v>1625</v>
      </c>
      <c r="I541" s="112"/>
      <c r="J541" s="57">
        <f>F541</f>
        <v>1625</v>
      </c>
      <c r="K541" s="57"/>
      <c r="L541" s="57"/>
      <c r="M541" s="57"/>
      <c r="N541" s="57"/>
      <c r="O541" s="57"/>
      <c r="P541" s="68"/>
      <c r="Q541" s="58"/>
      <c r="R541" s="93">
        <v>1625</v>
      </c>
      <c r="S541" s="74">
        <f t="shared" si="443"/>
        <v>0</v>
      </c>
      <c r="T541" s="95">
        <f t="shared" si="468"/>
        <v>1625</v>
      </c>
      <c r="U541" s="112"/>
      <c r="V541" s="57">
        <f>R541</f>
        <v>1625</v>
      </c>
      <c r="W541" s="57"/>
      <c r="X541" s="57"/>
      <c r="Y541" s="57"/>
      <c r="Z541" s="57"/>
      <c r="AA541" s="57"/>
      <c r="AB541" s="68"/>
      <c r="AC541" s="58"/>
      <c r="AD541" s="170">
        <f t="shared" si="478"/>
        <v>0</v>
      </c>
      <c r="AE541" s="89">
        <f t="shared" si="465"/>
        <v>0</v>
      </c>
      <c r="AF541" s="216">
        <f t="shared" si="466"/>
        <v>0</v>
      </c>
      <c r="AG541" s="147"/>
      <c r="AH541" s="148">
        <f t="shared" si="479"/>
        <v>0</v>
      </c>
      <c r="AI541" s="148"/>
      <c r="AJ541" s="148"/>
      <c r="AK541" s="148"/>
      <c r="AL541" s="148"/>
      <c r="AM541" s="148"/>
      <c r="AN541" s="149"/>
      <c r="AO541" s="150"/>
      <c r="AP541" s="76"/>
      <c r="AQ541" s="76"/>
      <c r="AR541" s="128"/>
      <c r="AS541" s="108">
        <f t="shared" si="451"/>
        <v>1</v>
      </c>
      <c r="AT541" s="249">
        <f t="shared" si="452"/>
        <v>1</v>
      </c>
      <c r="AU541" s="249">
        <f t="shared" si="453"/>
        <v>0</v>
      </c>
      <c r="AV541" s="249">
        <f t="shared" si="454"/>
        <v>0</v>
      </c>
    </row>
    <row r="542" spans="1:48" outlineLevel="1" x14ac:dyDescent="0.25">
      <c r="A542" s="4" t="s">
        <v>628</v>
      </c>
      <c r="B542" s="75" t="s">
        <v>753</v>
      </c>
      <c r="C542" s="25"/>
      <c r="D542" s="92">
        <v>0</v>
      </c>
      <c r="E542" s="110">
        <v>65</v>
      </c>
      <c r="F542" s="93">
        <f t="shared" si="477"/>
        <v>0</v>
      </c>
      <c r="G542" s="74">
        <f t="shared" si="421"/>
        <v>0</v>
      </c>
      <c r="H542" s="95">
        <f t="shared" ref="H542:H595" si="480">SUM(I542:Q542)</f>
        <v>0</v>
      </c>
      <c r="I542" s="112"/>
      <c r="J542" s="57">
        <f>F542</f>
        <v>0</v>
      </c>
      <c r="K542" s="57"/>
      <c r="L542" s="57"/>
      <c r="M542" s="57"/>
      <c r="N542" s="57"/>
      <c r="O542" s="57"/>
      <c r="P542" s="68"/>
      <c r="Q542" s="58"/>
      <c r="R542" s="93">
        <v>0</v>
      </c>
      <c r="S542" s="74">
        <f t="shared" si="443"/>
        <v>0</v>
      </c>
      <c r="T542" s="95">
        <f t="shared" si="468"/>
        <v>0</v>
      </c>
      <c r="U542" s="112"/>
      <c r="V542" s="57">
        <f>R542</f>
        <v>0</v>
      </c>
      <c r="W542" s="57"/>
      <c r="X542" s="57"/>
      <c r="Y542" s="57"/>
      <c r="Z542" s="57"/>
      <c r="AA542" s="57"/>
      <c r="AB542" s="68"/>
      <c r="AC542" s="58"/>
      <c r="AD542" s="170">
        <f t="shared" si="478"/>
        <v>0</v>
      </c>
      <c r="AE542" s="89">
        <f t="shared" si="465"/>
        <v>0</v>
      </c>
      <c r="AF542" s="216">
        <f t="shared" si="466"/>
        <v>0</v>
      </c>
      <c r="AG542" s="147"/>
      <c r="AH542" s="148">
        <f t="shared" si="479"/>
        <v>0</v>
      </c>
      <c r="AI542" s="148"/>
      <c r="AJ542" s="148"/>
      <c r="AK542" s="148"/>
      <c r="AL542" s="148"/>
      <c r="AM542" s="148"/>
      <c r="AN542" s="149"/>
      <c r="AO542" s="150"/>
      <c r="AP542" s="76"/>
      <c r="AQ542" s="76"/>
      <c r="AR542" s="128"/>
      <c r="AS542" s="108"/>
      <c r="AT542" s="249"/>
      <c r="AU542" s="249"/>
      <c r="AV542" s="249"/>
    </row>
    <row r="543" spans="1:48" outlineLevel="1" x14ac:dyDescent="0.25">
      <c r="A543" s="4" t="s">
        <v>667</v>
      </c>
      <c r="B543" s="75" t="s">
        <v>751</v>
      </c>
      <c r="C543" s="25"/>
      <c r="D543" s="92">
        <v>0</v>
      </c>
      <c r="E543" s="110">
        <v>502</v>
      </c>
      <c r="F543" s="93">
        <f t="shared" si="477"/>
        <v>0</v>
      </c>
      <c r="G543" s="74">
        <f t="shared" si="421"/>
        <v>0</v>
      </c>
      <c r="H543" s="95">
        <f t="shared" si="480"/>
        <v>0</v>
      </c>
      <c r="I543" s="112"/>
      <c r="J543" s="57">
        <f t="shared" ref="J543:J553" si="481">F543</f>
        <v>0</v>
      </c>
      <c r="K543" s="57"/>
      <c r="L543" s="57"/>
      <c r="M543" s="57"/>
      <c r="N543" s="57"/>
      <c r="O543" s="57"/>
      <c r="P543" s="68"/>
      <c r="Q543" s="58"/>
      <c r="R543" s="93">
        <v>0</v>
      </c>
      <c r="S543" s="74">
        <f t="shared" si="443"/>
        <v>0</v>
      </c>
      <c r="T543" s="95">
        <f t="shared" si="468"/>
        <v>0</v>
      </c>
      <c r="U543" s="112"/>
      <c r="V543" s="57">
        <f t="shared" ref="V543:V553" si="482">R543</f>
        <v>0</v>
      </c>
      <c r="W543" s="57"/>
      <c r="X543" s="57"/>
      <c r="Y543" s="57"/>
      <c r="Z543" s="57"/>
      <c r="AA543" s="57"/>
      <c r="AB543" s="68"/>
      <c r="AC543" s="58"/>
      <c r="AD543" s="170">
        <f t="shared" si="478"/>
        <v>0</v>
      </c>
      <c r="AE543" s="89">
        <f t="shared" si="465"/>
        <v>0</v>
      </c>
      <c r="AF543" s="216">
        <f t="shared" si="466"/>
        <v>0</v>
      </c>
      <c r="AG543" s="147"/>
      <c r="AH543" s="148">
        <f t="shared" si="479"/>
        <v>0</v>
      </c>
      <c r="AI543" s="148"/>
      <c r="AJ543" s="148"/>
      <c r="AK543" s="148"/>
      <c r="AL543" s="148"/>
      <c r="AM543" s="148"/>
      <c r="AN543" s="149"/>
      <c r="AO543" s="150"/>
      <c r="AP543" s="76"/>
      <c r="AQ543" s="76"/>
      <c r="AR543" s="128"/>
      <c r="AS543" s="108"/>
      <c r="AT543" s="249"/>
      <c r="AU543" s="249"/>
      <c r="AV543" s="249"/>
    </row>
    <row r="544" spans="1:48" outlineLevel="1" x14ac:dyDescent="0.25">
      <c r="A544" s="4" t="s">
        <v>668</v>
      </c>
      <c r="B544" s="75" t="s">
        <v>754</v>
      </c>
      <c r="C544" s="25"/>
      <c r="D544" s="92">
        <v>25</v>
      </c>
      <c r="E544" s="110">
        <v>450</v>
      </c>
      <c r="F544" s="93">
        <f t="shared" si="477"/>
        <v>11250</v>
      </c>
      <c r="G544" s="74">
        <f t="shared" si="421"/>
        <v>0</v>
      </c>
      <c r="H544" s="95">
        <f t="shared" si="480"/>
        <v>11250</v>
      </c>
      <c r="I544" s="112"/>
      <c r="J544" s="57">
        <f t="shared" si="481"/>
        <v>11250</v>
      </c>
      <c r="K544" s="57"/>
      <c r="L544" s="57"/>
      <c r="M544" s="57"/>
      <c r="N544" s="57"/>
      <c r="O544" s="57"/>
      <c r="P544" s="68"/>
      <c r="Q544" s="58"/>
      <c r="R544" s="93">
        <v>11250</v>
      </c>
      <c r="S544" s="74">
        <f t="shared" si="443"/>
        <v>0</v>
      </c>
      <c r="T544" s="95">
        <f t="shared" si="468"/>
        <v>11250</v>
      </c>
      <c r="U544" s="112"/>
      <c r="V544" s="57">
        <f t="shared" si="482"/>
        <v>11250</v>
      </c>
      <c r="W544" s="57"/>
      <c r="X544" s="57"/>
      <c r="Y544" s="57"/>
      <c r="Z544" s="57"/>
      <c r="AA544" s="57"/>
      <c r="AB544" s="68"/>
      <c r="AC544" s="58"/>
      <c r="AD544" s="170">
        <f t="shared" si="478"/>
        <v>0</v>
      </c>
      <c r="AE544" s="89">
        <f t="shared" si="465"/>
        <v>0</v>
      </c>
      <c r="AF544" s="216">
        <f t="shared" si="466"/>
        <v>0</v>
      </c>
      <c r="AG544" s="147"/>
      <c r="AH544" s="148">
        <f t="shared" si="479"/>
        <v>0</v>
      </c>
      <c r="AI544" s="148"/>
      <c r="AJ544" s="148"/>
      <c r="AK544" s="148"/>
      <c r="AL544" s="148"/>
      <c r="AM544" s="148"/>
      <c r="AN544" s="149"/>
      <c r="AO544" s="150"/>
      <c r="AP544" s="76"/>
      <c r="AQ544" s="76"/>
      <c r="AR544" s="128"/>
      <c r="AS544" s="108">
        <f t="shared" si="451"/>
        <v>1</v>
      </c>
      <c r="AT544" s="249">
        <f t="shared" si="452"/>
        <v>1</v>
      </c>
      <c r="AU544" s="249">
        <f t="shared" si="453"/>
        <v>0</v>
      </c>
      <c r="AV544" s="249">
        <f t="shared" si="454"/>
        <v>0</v>
      </c>
    </row>
    <row r="545" spans="1:48" outlineLevel="1" x14ac:dyDescent="0.25">
      <c r="A545" s="4" t="s">
        <v>669</v>
      </c>
      <c r="B545" s="75" t="s">
        <v>812</v>
      </c>
      <c r="C545" s="25"/>
      <c r="D545" s="92">
        <v>0</v>
      </c>
      <c r="E545" s="110">
        <v>502</v>
      </c>
      <c r="F545" s="93">
        <f t="shared" si="477"/>
        <v>0</v>
      </c>
      <c r="G545" s="74">
        <f t="shared" si="421"/>
        <v>0</v>
      </c>
      <c r="H545" s="95">
        <f t="shared" si="480"/>
        <v>0</v>
      </c>
      <c r="I545" s="112"/>
      <c r="J545" s="57">
        <f t="shared" si="481"/>
        <v>0</v>
      </c>
      <c r="K545" s="57"/>
      <c r="L545" s="57"/>
      <c r="M545" s="57"/>
      <c r="N545" s="57"/>
      <c r="O545" s="57"/>
      <c r="P545" s="68"/>
      <c r="Q545" s="58"/>
      <c r="R545" s="93">
        <v>0</v>
      </c>
      <c r="S545" s="74">
        <f t="shared" si="443"/>
        <v>0</v>
      </c>
      <c r="T545" s="95">
        <f t="shared" si="468"/>
        <v>0</v>
      </c>
      <c r="U545" s="112"/>
      <c r="V545" s="57">
        <f t="shared" si="482"/>
        <v>0</v>
      </c>
      <c r="W545" s="57"/>
      <c r="X545" s="57"/>
      <c r="Y545" s="57"/>
      <c r="Z545" s="57"/>
      <c r="AA545" s="57"/>
      <c r="AB545" s="68"/>
      <c r="AC545" s="58"/>
      <c r="AD545" s="170">
        <f t="shared" si="478"/>
        <v>0</v>
      </c>
      <c r="AE545" s="89">
        <f t="shared" si="465"/>
        <v>0</v>
      </c>
      <c r="AF545" s="216">
        <f t="shared" si="466"/>
        <v>0</v>
      </c>
      <c r="AG545" s="147"/>
      <c r="AH545" s="148">
        <f t="shared" si="479"/>
        <v>0</v>
      </c>
      <c r="AI545" s="148"/>
      <c r="AJ545" s="148"/>
      <c r="AK545" s="148"/>
      <c r="AL545" s="148"/>
      <c r="AM545" s="148"/>
      <c r="AN545" s="149"/>
      <c r="AO545" s="150"/>
      <c r="AP545" s="76"/>
      <c r="AQ545" s="76"/>
      <c r="AR545" s="128"/>
      <c r="AS545" s="108"/>
      <c r="AT545" s="249"/>
      <c r="AU545" s="249"/>
      <c r="AV545" s="249"/>
    </row>
    <row r="546" spans="1:48" outlineLevel="1" x14ac:dyDescent="0.25">
      <c r="A546" s="4" t="s">
        <v>670</v>
      </c>
      <c r="B546" s="75" t="s">
        <v>755</v>
      </c>
      <c r="C546" s="25"/>
      <c r="D546" s="92">
        <v>20</v>
      </c>
      <c r="E546" s="110">
        <v>250</v>
      </c>
      <c r="F546" s="93">
        <f t="shared" si="477"/>
        <v>5000</v>
      </c>
      <c r="G546" s="74">
        <f t="shared" si="421"/>
        <v>0</v>
      </c>
      <c r="H546" s="95">
        <f t="shared" si="480"/>
        <v>5000</v>
      </c>
      <c r="I546" s="112"/>
      <c r="J546" s="57">
        <f t="shared" si="481"/>
        <v>5000</v>
      </c>
      <c r="K546" s="57"/>
      <c r="L546" s="57"/>
      <c r="M546" s="57"/>
      <c r="N546" s="57"/>
      <c r="O546" s="57"/>
      <c r="P546" s="68"/>
      <c r="Q546" s="58"/>
      <c r="R546" s="93">
        <v>5000</v>
      </c>
      <c r="S546" s="74">
        <f t="shared" si="443"/>
        <v>0</v>
      </c>
      <c r="T546" s="95">
        <f t="shared" si="468"/>
        <v>5000</v>
      </c>
      <c r="U546" s="112"/>
      <c r="V546" s="57">
        <f t="shared" si="482"/>
        <v>5000</v>
      </c>
      <c r="W546" s="57"/>
      <c r="X546" s="57"/>
      <c r="Y546" s="57"/>
      <c r="Z546" s="57"/>
      <c r="AA546" s="57"/>
      <c r="AB546" s="68"/>
      <c r="AC546" s="58"/>
      <c r="AD546" s="170">
        <f t="shared" si="478"/>
        <v>0</v>
      </c>
      <c r="AE546" s="89">
        <f t="shared" si="465"/>
        <v>0</v>
      </c>
      <c r="AF546" s="216">
        <f t="shared" si="466"/>
        <v>0</v>
      </c>
      <c r="AG546" s="147"/>
      <c r="AH546" s="148">
        <f t="shared" si="479"/>
        <v>0</v>
      </c>
      <c r="AI546" s="148"/>
      <c r="AJ546" s="148"/>
      <c r="AK546" s="148"/>
      <c r="AL546" s="148"/>
      <c r="AM546" s="148"/>
      <c r="AN546" s="149"/>
      <c r="AO546" s="150"/>
      <c r="AP546" s="76"/>
      <c r="AQ546" s="76"/>
      <c r="AR546" s="128"/>
      <c r="AS546" s="108">
        <f t="shared" si="451"/>
        <v>1</v>
      </c>
      <c r="AT546" s="249">
        <f t="shared" si="452"/>
        <v>1</v>
      </c>
      <c r="AU546" s="249">
        <f t="shared" si="453"/>
        <v>0</v>
      </c>
      <c r="AV546" s="249">
        <f t="shared" si="454"/>
        <v>0</v>
      </c>
    </row>
    <row r="547" spans="1:48" outlineLevel="1" x14ac:dyDescent="0.25">
      <c r="A547" s="4" t="s">
        <v>671</v>
      </c>
      <c r="B547" s="75" t="s">
        <v>756</v>
      </c>
      <c r="C547" s="25"/>
      <c r="D547" s="92">
        <v>20</v>
      </c>
      <c r="E547" s="110">
        <v>250</v>
      </c>
      <c r="F547" s="93">
        <f t="shared" si="477"/>
        <v>5000</v>
      </c>
      <c r="G547" s="74">
        <f t="shared" si="421"/>
        <v>0</v>
      </c>
      <c r="H547" s="95">
        <f t="shared" si="480"/>
        <v>5000</v>
      </c>
      <c r="I547" s="112"/>
      <c r="J547" s="57">
        <f t="shared" si="481"/>
        <v>5000</v>
      </c>
      <c r="K547" s="57"/>
      <c r="L547" s="57"/>
      <c r="M547" s="57"/>
      <c r="N547" s="57"/>
      <c r="O547" s="57"/>
      <c r="P547" s="68"/>
      <c r="Q547" s="58"/>
      <c r="R547" s="93">
        <v>5000</v>
      </c>
      <c r="S547" s="74">
        <f t="shared" si="443"/>
        <v>0</v>
      </c>
      <c r="T547" s="95">
        <f t="shared" si="468"/>
        <v>5000</v>
      </c>
      <c r="U547" s="112"/>
      <c r="V547" s="57">
        <f t="shared" si="482"/>
        <v>5000</v>
      </c>
      <c r="W547" s="57"/>
      <c r="X547" s="57"/>
      <c r="Y547" s="57"/>
      <c r="Z547" s="57"/>
      <c r="AA547" s="57"/>
      <c r="AB547" s="68"/>
      <c r="AC547" s="58"/>
      <c r="AD547" s="170">
        <f t="shared" si="478"/>
        <v>0</v>
      </c>
      <c r="AE547" s="89">
        <f t="shared" si="465"/>
        <v>0</v>
      </c>
      <c r="AF547" s="216">
        <f t="shared" si="466"/>
        <v>0</v>
      </c>
      <c r="AG547" s="147"/>
      <c r="AH547" s="148">
        <f t="shared" si="479"/>
        <v>0</v>
      </c>
      <c r="AI547" s="148"/>
      <c r="AJ547" s="148"/>
      <c r="AK547" s="148"/>
      <c r="AL547" s="148"/>
      <c r="AM547" s="148"/>
      <c r="AN547" s="149"/>
      <c r="AO547" s="150"/>
      <c r="AP547" s="76"/>
      <c r="AQ547" s="76"/>
      <c r="AR547" s="128"/>
      <c r="AS547" s="108">
        <f t="shared" si="451"/>
        <v>1</v>
      </c>
      <c r="AT547" s="249">
        <f t="shared" si="452"/>
        <v>1</v>
      </c>
      <c r="AU547" s="249">
        <f t="shared" si="453"/>
        <v>0</v>
      </c>
      <c r="AV547" s="249">
        <f t="shared" si="454"/>
        <v>0</v>
      </c>
    </row>
    <row r="548" spans="1:48" outlineLevel="1" x14ac:dyDescent="0.25">
      <c r="A548" s="4" t="s">
        <v>672</v>
      </c>
      <c r="B548" s="75" t="s">
        <v>759</v>
      </c>
      <c r="C548" s="25"/>
      <c r="D548" s="92">
        <v>10</v>
      </c>
      <c r="E548" s="110">
        <v>275</v>
      </c>
      <c r="F548" s="93">
        <f t="shared" si="477"/>
        <v>2750</v>
      </c>
      <c r="G548" s="74">
        <f t="shared" ref="G548:G592" si="483">H548-F548</f>
        <v>0</v>
      </c>
      <c r="H548" s="95">
        <f t="shared" si="480"/>
        <v>2750</v>
      </c>
      <c r="I548" s="112"/>
      <c r="J548" s="57">
        <f t="shared" si="481"/>
        <v>2750</v>
      </c>
      <c r="K548" s="57"/>
      <c r="L548" s="57"/>
      <c r="M548" s="57"/>
      <c r="N548" s="57"/>
      <c r="O548" s="57"/>
      <c r="P548" s="68"/>
      <c r="Q548" s="58"/>
      <c r="R548" s="93">
        <v>2750</v>
      </c>
      <c r="S548" s="74">
        <f t="shared" si="443"/>
        <v>0</v>
      </c>
      <c r="T548" s="95">
        <f t="shared" si="468"/>
        <v>2750</v>
      </c>
      <c r="U548" s="112"/>
      <c r="V548" s="57">
        <f t="shared" si="482"/>
        <v>2750</v>
      </c>
      <c r="W548" s="57"/>
      <c r="X548" s="57"/>
      <c r="Y548" s="57"/>
      <c r="Z548" s="57"/>
      <c r="AA548" s="57"/>
      <c r="AB548" s="68"/>
      <c r="AC548" s="58"/>
      <c r="AD548" s="170">
        <f t="shared" si="478"/>
        <v>0</v>
      </c>
      <c r="AE548" s="89">
        <f t="shared" si="465"/>
        <v>0</v>
      </c>
      <c r="AF548" s="216">
        <f t="shared" si="466"/>
        <v>0</v>
      </c>
      <c r="AG548" s="147"/>
      <c r="AH548" s="148">
        <f t="shared" si="479"/>
        <v>0</v>
      </c>
      <c r="AI548" s="148"/>
      <c r="AJ548" s="148"/>
      <c r="AK548" s="148"/>
      <c r="AL548" s="148"/>
      <c r="AM548" s="148"/>
      <c r="AN548" s="149"/>
      <c r="AO548" s="150"/>
      <c r="AP548" s="76"/>
      <c r="AQ548" s="76"/>
      <c r="AR548" s="128"/>
      <c r="AS548" s="108">
        <f t="shared" si="451"/>
        <v>1</v>
      </c>
      <c r="AT548" s="249">
        <f t="shared" si="452"/>
        <v>1</v>
      </c>
      <c r="AU548" s="249">
        <f t="shared" si="453"/>
        <v>0</v>
      </c>
      <c r="AV548" s="249">
        <f t="shared" si="454"/>
        <v>0</v>
      </c>
    </row>
    <row r="549" spans="1:48" outlineLevel="1" x14ac:dyDescent="0.25">
      <c r="A549" s="4" t="s">
        <v>673</v>
      </c>
      <c r="B549" s="75" t="s">
        <v>757</v>
      </c>
      <c r="C549" s="25"/>
      <c r="D549" s="92">
        <v>0</v>
      </c>
      <c r="E549" s="110">
        <v>292</v>
      </c>
      <c r="F549" s="93">
        <f t="shared" si="477"/>
        <v>0</v>
      </c>
      <c r="G549" s="74">
        <f t="shared" si="483"/>
        <v>0</v>
      </c>
      <c r="H549" s="95">
        <f t="shared" si="480"/>
        <v>0</v>
      </c>
      <c r="I549" s="112"/>
      <c r="J549" s="57">
        <f t="shared" si="481"/>
        <v>0</v>
      </c>
      <c r="K549" s="57"/>
      <c r="L549" s="57"/>
      <c r="M549" s="57"/>
      <c r="N549" s="57"/>
      <c r="O549" s="57"/>
      <c r="P549" s="68"/>
      <c r="Q549" s="58"/>
      <c r="R549" s="93">
        <v>0</v>
      </c>
      <c r="S549" s="74">
        <f t="shared" si="443"/>
        <v>0</v>
      </c>
      <c r="T549" s="95">
        <f t="shared" si="468"/>
        <v>0</v>
      </c>
      <c r="U549" s="112"/>
      <c r="V549" s="57">
        <f t="shared" si="482"/>
        <v>0</v>
      </c>
      <c r="W549" s="57"/>
      <c r="X549" s="57"/>
      <c r="Y549" s="57"/>
      <c r="Z549" s="57"/>
      <c r="AA549" s="57"/>
      <c r="AB549" s="68"/>
      <c r="AC549" s="58"/>
      <c r="AD549" s="170">
        <f t="shared" si="478"/>
        <v>0</v>
      </c>
      <c r="AE549" s="89">
        <f t="shared" si="465"/>
        <v>0</v>
      </c>
      <c r="AF549" s="216">
        <f t="shared" si="466"/>
        <v>0</v>
      </c>
      <c r="AG549" s="147"/>
      <c r="AH549" s="148">
        <f t="shared" si="479"/>
        <v>0</v>
      </c>
      <c r="AI549" s="148"/>
      <c r="AJ549" s="148"/>
      <c r="AK549" s="148"/>
      <c r="AL549" s="148"/>
      <c r="AM549" s="148"/>
      <c r="AN549" s="149"/>
      <c r="AO549" s="150"/>
      <c r="AP549" s="76"/>
      <c r="AQ549" s="76"/>
      <c r="AR549" s="128"/>
      <c r="AS549" s="108"/>
      <c r="AT549" s="249"/>
      <c r="AU549" s="249"/>
      <c r="AV549" s="249"/>
    </row>
    <row r="550" spans="1:48" outlineLevel="1" x14ac:dyDescent="0.25">
      <c r="A550" s="4" t="s">
        <v>674</v>
      </c>
      <c r="B550" s="75" t="s">
        <v>758</v>
      </c>
      <c r="C550" s="25"/>
      <c r="D550" s="92">
        <v>0</v>
      </c>
      <c r="E550" s="110">
        <v>292</v>
      </c>
      <c r="F550" s="93">
        <f t="shared" si="477"/>
        <v>0</v>
      </c>
      <c r="G550" s="74">
        <f t="shared" si="483"/>
        <v>0</v>
      </c>
      <c r="H550" s="95">
        <f t="shared" si="480"/>
        <v>0</v>
      </c>
      <c r="I550" s="112"/>
      <c r="J550" s="57">
        <f t="shared" si="481"/>
        <v>0</v>
      </c>
      <c r="K550" s="57"/>
      <c r="L550" s="57"/>
      <c r="M550" s="57"/>
      <c r="N550" s="57"/>
      <c r="O550" s="57"/>
      <c r="P550" s="68"/>
      <c r="Q550" s="58"/>
      <c r="R550" s="93">
        <v>0</v>
      </c>
      <c r="S550" s="74">
        <f t="shared" si="443"/>
        <v>0</v>
      </c>
      <c r="T550" s="95">
        <f t="shared" si="468"/>
        <v>0</v>
      </c>
      <c r="U550" s="112"/>
      <c r="V550" s="57">
        <f t="shared" si="482"/>
        <v>0</v>
      </c>
      <c r="W550" s="57"/>
      <c r="X550" s="57"/>
      <c r="Y550" s="57"/>
      <c r="Z550" s="57"/>
      <c r="AA550" s="57"/>
      <c r="AB550" s="68"/>
      <c r="AC550" s="58"/>
      <c r="AD550" s="170">
        <f t="shared" si="478"/>
        <v>0</v>
      </c>
      <c r="AE550" s="89">
        <f t="shared" si="465"/>
        <v>0</v>
      </c>
      <c r="AF550" s="216">
        <f t="shared" si="466"/>
        <v>0</v>
      </c>
      <c r="AG550" s="147"/>
      <c r="AH550" s="148">
        <f t="shared" si="479"/>
        <v>0</v>
      </c>
      <c r="AI550" s="148"/>
      <c r="AJ550" s="148"/>
      <c r="AK550" s="148"/>
      <c r="AL550" s="148"/>
      <c r="AM550" s="148"/>
      <c r="AN550" s="149"/>
      <c r="AO550" s="150"/>
      <c r="AP550" s="76"/>
      <c r="AQ550" s="76"/>
      <c r="AR550" s="128"/>
      <c r="AS550" s="108"/>
      <c r="AT550" s="249"/>
      <c r="AU550" s="249"/>
      <c r="AV550" s="249"/>
    </row>
    <row r="551" spans="1:48" outlineLevel="1" x14ac:dyDescent="0.25">
      <c r="A551" s="4" t="s">
        <v>675</v>
      </c>
      <c r="B551" s="75" t="s">
        <v>760</v>
      </c>
      <c r="C551" s="25"/>
      <c r="D551" s="92">
        <v>10</v>
      </c>
      <c r="E551" s="110">
        <v>275</v>
      </c>
      <c r="F551" s="93">
        <f t="shared" si="477"/>
        <v>2750</v>
      </c>
      <c r="G551" s="74">
        <f t="shared" si="483"/>
        <v>0</v>
      </c>
      <c r="H551" s="95">
        <f t="shared" si="480"/>
        <v>2750</v>
      </c>
      <c r="I551" s="112"/>
      <c r="J551" s="57">
        <f t="shared" si="481"/>
        <v>2750</v>
      </c>
      <c r="K551" s="57"/>
      <c r="L551" s="57"/>
      <c r="M551" s="57"/>
      <c r="N551" s="57"/>
      <c r="O551" s="57"/>
      <c r="P551" s="68"/>
      <c r="Q551" s="58"/>
      <c r="R551" s="93">
        <v>2750</v>
      </c>
      <c r="S551" s="74">
        <f t="shared" si="443"/>
        <v>0</v>
      </c>
      <c r="T551" s="95">
        <f t="shared" si="468"/>
        <v>2750</v>
      </c>
      <c r="U551" s="112"/>
      <c r="V551" s="57">
        <f t="shared" si="482"/>
        <v>2750</v>
      </c>
      <c r="W551" s="57"/>
      <c r="X551" s="57"/>
      <c r="Y551" s="57"/>
      <c r="Z551" s="57"/>
      <c r="AA551" s="57"/>
      <c r="AB551" s="68"/>
      <c r="AC551" s="58"/>
      <c r="AD551" s="170">
        <f t="shared" si="478"/>
        <v>0</v>
      </c>
      <c r="AE551" s="89">
        <f t="shared" si="465"/>
        <v>0</v>
      </c>
      <c r="AF551" s="216">
        <f t="shared" si="466"/>
        <v>0</v>
      </c>
      <c r="AG551" s="147"/>
      <c r="AH551" s="148">
        <f t="shared" si="479"/>
        <v>0</v>
      </c>
      <c r="AI551" s="148"/>
      <c r="AJ551" s="148"/>
      <c r="AK551" s="148"/>
      <c r="AL551" s="148"/>
      <c r="AM551" s="148"/>
      <c r="AN551" s="149"/>
      <c r="AO551" s="150"/>
      <c r="AP551" s="76"/>
      <c r="AQ551" s="76"/>
      <c r="AR551" s="128"/>
      <c r="AS551" s="108">
        <f t="shared" si="451"/>
        <v>1</v>
      </c>
      <c r="AT551" s="249">
        <f t="shared" si="452"/>
        <v>1</v>
      </c>
      <c r="AU551" s="249">
        <f t="shared" si="453"/>
        <v>0</v>
      </c>
      <c r="AV551" s="249">
        <f t="shared" si="454"/>
        <v>0</v>
      </c>
    </row>
    <row r="552" spans="1:48" outlineLevel="1" x14ac:dyDescent="0.25">
      <c r="A552" s="4" t="s">
        <v>676</v>
      </c>
      <c r="B552" s="75" t="s">
        <v>761</v>
      </c>
      <c r="C552" s="25"/>
      <c r="D552" s="92">
        <v>0</v>
      </c>
      <c r="E552" s="110">
        <v>317</v>
      </c>
      <c r="F552" s="93">
        <f t="shared" si="477"/>
        <v>0</v>
      </c>
      <c r="G552" s="74">
        <f t="shared" si="483"/>
        <v>0</v>
      </c>
      <c r="H552" s="95">
        <f t="shared" si="480"/>
        <v>0</v>
      </c>
      <c r="I552" s="112"/>
      <c r="J552" s="57">
        <f t="shared" si="481"/>
        <v>0</v>
      </c>
      <c r="K552" s="57"/>
      <c r="L552" s="57"/>
      <c r="M552" s="57"/>
      <c r="N552" s="57"/>
      <c r="O552" s="57"/>
      <c r="P552" s="68"/>
      <c r="Q552" s="58"/>
      <c r="R552" s="93">
        <v>0</v>
      </c>
      <c r="S552" s="74">
        <f t="shared" si="443"/>
        <v>0</v>
      </c>
      <c r="T552" s="95">
        <f t="shared" si="468"/>
        <v>0</v>
      </c>
      <c r="U552" s="112"/>
      <c r="V552" s="57">
        <f t="shared" si="482"/>
        <v>0</v>
      </c>
      <c r="W552" s="57"/>
      <c r="X552" s="57"/>
      <c r="Y552" s="57"/>
      <c r="Z552" s="57"/>
      <c r="AA552" s="57"/>
      <c r="AB552" s="68"/>
      <c r="AC552" s="58"/>
      <c r="AD552" s="170">
        <f t="shared" si="478"/>
        <v>0</v>
      </c>
      <c r="AE552" s="89">
        <f t="shared" si="465"/>
        <v>0</v>
      </c>
      <c r="AF552" s="216">
        <f t="shared" si="466"/>
        <v>0</v>
      </c>
      <c r="AG552" s="147"/>
      <c r="AH552" s="148">
        <f t="shared" si="479"/>
        <v>0</v>
      </c>
      <c r="AI552" s="148"/>
      <c r="AJ552" s="148"/>
      <c r="AK552" s="148"/>
      <c r="AL552" s="148"/>
      <c r="AM552" s="148"/>
      <c r="AN552" s="149"/>
      <c r="AO552" s="150"/>
      <c r="AP552" s="76"/>
      <c r="AQ552" s="76"/>
      <c r="AR552" s="128"/>
      <c r="AS552" s="108"/>
      <c r="AT552" s="249"/>
      <c r="AU552" s="249"/>
      <c r="AV552" s="249"/>
    </row>
    <row r="553" spans="1:48" outlineLevel="1" x14ac:dyDescent="0.25">
      <c r="A553" s="4" t="s">
        <v>677</v>
      </c>
      <c r="B553" s="75" t="s">
        <v>762</v>
      </c>
      <c r="C553" s="25"/>
      <c r="D553" s="92">
        <v>0</v>
      </c>
      <c r="E553" s="110">
        <v>317</v>
      </c>
      <c r="F553" s="93">
        <f t="shared" si="477"/>
        <v>0</v>
      </c>
      <c r="G553" s="74">
        <f t="shared" si="483"/>
        <v>0</v>
      </c>
      <c r="H553" s="95">
        <f t="shared" si="480"/>
        <v>0</v>
      </c>
      <c r="I553" s="112"/>
      <c r="J553" s="57">
        <f t="shared" si="481"/>
        <v>0</v>
      </c>
      <c r="K553" s="57"/>
      <c r="L553" s="57"/>
      <c r="M553" s="57"/>
      <c r="N553" s="57"/>
      <c r="O553" s="57"/>
      <c r="P553" s="68"/>
      <c r="Q553" s="58"/>
      <c r="R553" s="93">
        <v>0</v>
      </c>
      <c r="S553" s="74">
        <f t="shared" si="443"/>
        <v>0</v>
      </c>
      <c r="T553" s="95">
        <f t="shared" si="468"/>
        <v>0</v>
      </c>
      <c r="U553" s="112"/>
      <c r="V553" s="57">
        <f t="shared" si="482"/>
        <v>0</v>
      </c>
      <c r="W553" s="57"/>
      <c r="X553" s="57"/>
      <c r="Y553" s="57"/>
      <c r="Z553" s="57"/>
      <c r="AA553" s="57"/>
      <c r="AB553" s="68"/>
      <c r="AC553" s="58"/>
      <c r="AD553" s="170">
        <f t="shared" si="478"/>
        <v>0</v>
      </c>
      <c r="AE553" s="89">
        <f t="shared" si="465"/>
        <v>0</v>
      </c>
      <c r="AF553" s="216">
        <f t="shared" si="466"/>
        <v>0</v>
      </c>
      <c r="AG553" s="147"/>
      <c r="AH553" s="148">
        <f t="shared" si="479"/>
        <v>0</v>
      </c>
      <c r="AI553" s="148"/>
      <c r="AJ553" s="148"/>
      <c r="AK553" s="148"/>
      <c r="AL553" s="148"/>
      <c r="AM553" s="148"/>
      <c r="AN553" s="149"/>
      <c r="AO553" s="150"/>
      <c r="AP553" s="76"/>
      <c r="AQ553" s="76"/>
      <c r="AR553" s="128"/>
      <c r="AS553" s="108"/>
      <c r="AT553" s="249"/>
      <c r="AU553" s="249"/>
      <c r="AV553" s="249"/>
    </row>
    <row r="554" spans="1:48" outlineLevel="1" x14ac:dyDescent="0.25">
      <c r="A554" s="4" t="s">
        <v>1156</v>
      </c>
      <c r="B554" s="75" t="s">
        <v>47</v>
      </c>
      <c r="C554" s="25"/>
      <c r="D554" s="92"/>
      <c r="E554" s="110"/>
      <c r="F554" s="93">
        <f t="shared" si="477"/>
        <v>0</v>
      </c>
      <c r="G554" s="74">
        <f t="shared" si="483"/>
        <v>0</v>
      </c>
      <c r="H554" s="95">
        <f t="shared" si="480"/>
        <v>0</v>
      </c>
      <c r="I554" s="112"/>
      <c r="J554" s="57"/>
      <c r="K554" s="57"/>
      <c r="L554" s="57"/>
      <c r="M554" s="57"/>
      <c r="N554" s="57"/>
      <c r="O554" s="57"/>
      <c r="P554" s="68"/>
      <c r="Q554" s="58"/>
      <c r="R554" s="93">
        <v>0</v>
      </c>
      <c r="S554" s="74">
        <f t="shared" si="443"/>
        <v>0</v>
      </c>
      <c r="T554" s="95">
        <f t="shared" si="468"/>
        <v>0</v>
      </c>
      <c r="U554" s="112"/>
      <c r="V554" s="57"/>
      <c r="W554" s="57"/>
      <c r="X554" s="57"/>
      <c r="Y554" s="57"/>
      <c r="Z554" s="57"/>
      <c r="AA554" s="57"/>
      <c r="AB554" s="68"/>
      <c r="AC554" s="58"/>
      <c r="AD554" s="170">
        <v>0</v>
      </c>
      <c r="AE554" s="89">
        <f t="shared" si="465"/>
        <v>0</v>
      </c>
      <c r="AF554" s="216">
        <f t="shared" si="466"/>
        <v>0</v>
      </c>
      <c r="AG554" s="147"/>
      <c r="AH554" s="148"/>
      <c r="AI554" s="148"/>
      <c r="AJ554" s="148"/>
      <c r="AK554" s="148"/>
      <c r="AL554" s="148"/>
      <c r="AM554" s="148"/>
      <c r="AN554" s="149"/>
      <c r="AO554" s="150"/>
      <c r="AP554" s="76"/>
      <c r="AQ554" s="76"/>
      <c r="AR554" s="128"/>
      <c r="AS554" s="108"/>
      <c r="AT554" s="249"/>
      <c r="AU554" s="249"/>
      <c r="AV554" s="249"/>
    </row>
    <row r="555" spans="1:48" s="3" customFormat="1" ht="15.75" x14ac:dyDescent="0.25">
      <c r="A555" s="7" t="s">
        <v>629</v>
      </c>
      <c r="B555" s="13" t="s">
        <v>666</v>
      </c>
      <c r="C555" s="23"/>
      <c r="D555" s="24"/>
      <c r="E555" s="17"/>
      <c r="F555" s="82">
        <f>SUM(F557:F589)</f>
        <v>51750</v>
      </c>
      <c r="G555" s="89">
        <f t="shared" si="483"/>
        <v>0</v>
      </c>
      <c r="H555" s="18">
        <f t="shared" si="480"/>
        <v>51750</v>
      </c>
      <c r="I555" s="54">
        <f t="shared" ref="I555:Q555" si="484">SUM(I557:I589)</f>
        <v>1000</v>
      </c>
      <c r="J555" s="55">
        <f t="shared" si="484"/>
        <v>50750</v>
      </c>
      <c r="K555" s="55">
        <f t="shared" si="484"/>
        <v>0</v>
      </c>
      <c r="L555" s="55">
        <f t="shared" si="484"/>
        <v>0</v>
      </c>
      <c r="M555" s="55">
        <f t="shared" si="484"/>
        <v>0</v>
      </c>
      <c r="N555" s="55">
        <f t="shared" si="484"/>
        <v>0</v>
      </c>
      <c r="O555" s="55">
        <f t="shared" si="484"/>
        <v>0</v>
      </c>
      <c r="P555" s="55">
        <f t="shared" si="484"/>
        <v>0</v>
      </c>
      <c r="Q555" s="56">
        <f t="shared" si="484"/>
        <v>0</v>
      </c>
      <c r="R555" s="82">
        <f>SUM(R556:R589)</f>
        <v>51750</v>
      </c>
      <c r="S555" s="89">
        <f t="shared" si="443"/>
        <v>0</v>
      </c>
      <c r="T555" s="18">
        <f t="shared" si="468"/>
        <v>51750</v>
      </c>
      <c r="U555" s="54">
        <f>SUM(U556:U589)</f>
        <v>1000</v>
      </c>
      <c r="V555" s="54">
        <f t="shared" ref="V555:AC555" si="485">SUM(V556:V589)</f>
        <v>50750</v>
      </c>
      <c r="W555" s="54">
        <f t="shared" si="485"/>
        <v>0</v>
      </c>
      <c r="X555" s="54">
        <f t="shared" si="485"/>
        <v>0</v>
      </c>
      <c r="Y555" s="54">
        <f t="shared" si="485"/>
        <v>0</v>
      </c>
      <c r="Z555" s="54">
        <f t="shared" si="485"/>
        <v>0</v>
      </c>
      <c r="AA555" s="54">
        <f t="shared" si="485"/>
        <v>0</v>
      </c>
      <c r="AB555" s="54">
        <f t="shared" si="485"/>
        <v>0</v>
      </c>
      <c r="AC555" s="54">
        <f t="shared" si="485"/>
        <v>0</v>
      </c>
      <c r="AD555" s="264">
        <f>SUM(AD556:AD589)</f>
        <v>12371.310000000001</v>
      </c>
      <c r="AE555" s="265">
        <f t="shared" si="465"/>
        <v>-12371.310000000001</v>
      </c>
      <c r="AF555" s="266">
        <f t="shared" si="466"/>
        <v>0</v>
      </c>
      <c r="AG555" s="267">
        <f>SUM(AG556:AG589)</f>
        <v>0</v>
      </c>
      <c r="AH555" s="267">
        <f t="shared" ref="AH555:AR555" si="486">SUM(AH556:AH589)</f>
        <v>0</v>
      </c>
      <c r="AI555" s="267">
        <f t="shared" si="486"/>
        <v>0</v>
      </c>
      <c r="AJ555" s="267">
        <f t="shared" si="486"/>
        <v>0</v>
      </c>
      <c r="AK555" s="267">
        <f t="shared" si="486"/>
        <v>0</v>
      </c>
      <c r="AL555" s="267">
        <f t="shared" si="486"/>
        <v>0</v>
      </c>
      <c r="AM555" s="267">
        <f t="shared" si="486"/>
        <v>0</v>
      </c>
      <c r="AN555" s="267">
        <f t="shared" si="486"/>
        <v>0</v>
      </c>
      <c r="AO555" s="267">
        <f t="shared" si="486"/>
        <v>0</v>
      </c>
      <c r="AP555" s="144">
        <f t="shared" si="486"/>
        <v>0</v>
      </c>
      <c r="AQ555" s="144">
        <f t="shared" si="486"/>
        <v>0</v>
      </c>
      <c r="AR555" s="144">
        <f t="shared" si="486"/>
        <v>0</v>
      </c>
      <c r="AS555" s="108">
        <f t="shared" si="451"/>
        <v>1</v>
      </c>
      <c r="AT555" s="249">
        <f t="shared" si="452"/>
        <v>1</v>
      </c>
      <c r="AU555" s="249">
        <f t="shared" si="453"/>
        <v>0.23905913043478264</v>
      </c>
      <c r="AV555" s="249">
        <f t="shared" si="454"/>
        <v>0</v>
      </c>
    </row>
    <row r="556" spans="1:48" x14ac:dyDescent="0.25">
      <c r="A556" s="5" t="s">
        <v>1157</v>
      </c>
      <c r="B556" s="75" t="s">
        <v>1158</v>
      </c>
      <c r="C556" s="25"/>
      <c r="D556" s="92"/>
      <c r="E556" s="110"/>
      <c r="F556" s="93"/>
      <c r="G556" s="223"/>
      <c r="H556" s="95"/>
      <c r="I556" s="224"/>
      <c r="J556" s="110"/>
      <c r="K556" s="110"/>
      <c r="L556" s="110"/>
      <c r="M556" s="110"/>
      <c r="N556" s="110"/>
      <c r="O556" s="110"/>
      <c r="P556" s="93"/>
      <c r="Q556" s="225"/>
      <c r="R556" s="93"/>
      <c r="S556" s="89">
        <f t="shared" si="443"/>
        <v>0</v>
      </c>
      <c r="T556" s="95"/>
      <c r="U556" s="224"/>
      <c r="V556" s="110"/>
      <c r="W556" s="110"/>
      <c r="X556" s="110"/>
      <c r="Y556" s="110"/>
      <c r="Z556" s="110"/>
      <c r="AA556" s="110"/>
      <c r="AB556" s="93"/>
      <c r="AC556" s="225"/>
      <c r="AD556" s="93">
        <v>1713.56</v>
      </c>
      <c r="AE556" s="89">
        <f t="shared" si="465"/>
        <v>-1713.56</v>
      </c>
      <c r="AF556" s="216">
        <f t="shared" si="466"/>
        <v>0</v>
      </c>
      <c r="AG556" s="224"/>
      <c r="AH556" s="110"/>
      <c r="AI556" s="110"/>
      <c r="AJ556" s="110"/>
      <c r="AK556" s="110"/>
      <c r="AL556" s="110"/>
      <c r="AM556" s="110"/>
      <c r="AN556" s="93"/>
      <c r="AO556" s="225"/>
      <c r="AP556" s="176"/>
      <c r="AQ556" s="176"/>
      <c r="AR556" s="177"/>
      <c r="AS556" s="108"/>
      <c r="AT556" s="249"/>
      <c r="AU556" s="249"/>
      <c r="AV556" s="249"/>
    </row>
    <row r="557" spans="1:48" outlineLevel="1" x14ac:dyDescent="0.25">
      <c r="A557" s="4" t="s">
        <v>630</v>
      </c>
      <c r="B557" s="75" t="s">
        <v>804</v>
      </c>
      <c r="C557" s="25"/>
      <c r="D557" s="92">
        <v>25</v>
      </c>
      <c r="E557" s="110">
        <v>70</v>
      </c>
      <c r="F557" s="93">
        <f t="shared" ref="F557:F589" si="487">D557*E557</f>
        <v>1750</v>
      </c>
      <c r="G557" s="74">
        <f t="shared" si="483"/>
        <v>0</v>
      </c>
      <c r="H557" s="95">
        <f t="shared" si="480"/>
        <v>1750</v>
      </c>
      <c r="I557" s="112"/>
      <c r="J557" s="57">
        <f>F557</f>
        <v>1750</v>
      </c>
      <c r="K557" s="57"/>
      <c r="L557" s="57"/>
      <c r="M557" s="57"/>
      <c r="N557" s="57"/>
      <c r="O557" s="57"/>
      <c r="P557" s="68"/>
      <c r="Q557" s="58"/>
      <c r="R557" s="93">
        <v>1750</v>
      </c>
      <c r="S557" s="74">
        <f t="shared" si="443"/>
        <v>0</v>
      </c>
      <c r="T557" s="95">
        <f t="shared" si="468"/>
        <v>1750</v>
      </c>
      <c r="U557" s="112"/>
      <c r="V557" s="57">
        <f>R557</f>
        <v>1750</v>
      </c>
      <c r="W557" s="57"/>
      <c r="X557" s="57"/>
      <c r="Y557" s="57"/>
      <c r="Z557" s="57"/>
      <c r="AA557" s="57"/>
      <c r="AB557" s="68"/>
      <c r="AC557" s="58"/>
      <c r="AD557" s="170">
        <v>1348.95</v>
      </c>
      <c r="AE557" s="89">
        <f t="shared" si="465"/>
        <v>-1348.95</v>
      </c>
      <c r="AF557" s="216">
        <f t="shared" si="466"/>
        <v>0</v>
      </c>
      <c r="AG557" s="147"/>
      <c r="AH557" s="148"/>
      <c r="AI557" s="148"/>
      <c r="AJ557" s="148"/>
      <c r="AK557" s="148"/>
      <c r="AL557" s="148"/>
      <c r="AM557" s="148"/>
      <c r="AN557" s="149"/>
      <c r="AO557" s="150"/>
      <c r="AP557" s="76"/>
      <c r="AQ557" s="76"/>
      <c r="AR557" s="128"/>
      <c r="AS557" s="108">
        <f t="shared" si="451"/>
        <v>1</v>
      </c>
      <c r="AT557" s="249">
        <f t="shared" si="452"/>
        <v>1</v>
      </c>
      <c r="AU557" s="249">
        <f t="shared" si="453"/>
        <v>0.77082857142857142</v>
      </c>
      <c r="AV557" s="249">
        <f t="shared" si="454"/>
        <v>0</v>
      </c>
    </row>
    <row r="558" spans="1:48" outlineLevel="1" x14ac:dyDescent="0.25">
      <c r="A558" s="4" t="s">
        <v>631</v>
      </c>
      <c r="B558" s="75" t="s">
        <v>805</v>
      </c>
      <c r="C558" s="25"/>
      <c r="D558" s="92">
        <v>25</v>
      </c>
      <c r="E558" s="110">
        <v>70</v>
      </c>
      <c r="F558" s="93">
        <f t="shared" si="487"/>
        <v>1750</v>
      </c>
      <c r="G558" s="74">
        <f t="shared" si="483"/>
        <v>0</v>
      </c>
      <c r="H558" s="95">
        <f t="shared" si="480"/>
        <v>1750</v>
      </c>
      <c r="I558" s="112"/>
      <c r="J558" s="57">
        <f t="shared" ref="J558:J589" si="488">F558</f>
        <v>1750</v>
      </c>
      <c r="K558" s="57"/>
      <c r="L558" s="57"/>
      <c r="M558" s="57"/>
      <c r="N558" s="57"/>
      <c r="O558" s="57"/>
      <c r="P558" s="68"/>
      <c r="Q558" s="58"/>
      <c r="R558" s="93">
        <v>1750</v>
      </c>
      <c r="S558" s="74">
        <f t="shared" si="443"/>
        <v>0</v>
      </c>
      <c r="T558" s="95">
        <f t="shared" si="468"/>
        <v>1750</v>
      </c>
      <c r="U558" s="112"/>
      <c r="V558" s="57">
        <f t="shared" ref="V558:V587" si="489">R558</f>
        <v>1750</v>
      </c>
      <c r="W558" s="57"/>
      <c r="X558" s="57"/>
      <c r="Y558" s="57"/>
      <c r="Z558" s="57"/>
      <c r="AA558" s="57"/>
      <c r="AB558" s="68"/>
      <c r="AC558" s="58"/>
      <c r="AD558" s="170">
        <f>P558*Q558</f>
        <v>0</v>
      </c>
      <c r="AE558" s="89">
        <f t="shared" si="465"/>
        <v>0</v>
      </c>
      <c r="AF558" s="216">
        <f t="shared" si="466"/>
        <v>0</v>
      </c>
      <c r="AG558" s="147"/>
      <c r="AH558" s="148">
        <f>O558</f>
        <v>0</v>
      </c>
      <c r="AI558" s="148"/>
      <c r="AJ558" s="148"/>
      <c r="AK558" s="148"/>
      <c r="AL558" s="148"/>
      <c r="AM558" s="148"/>
      <c r="AN558" s="149"/>
      <c r="AO558" s="150"/>
      <c r="AP558" s="76"/>
      <c r="AQ558" s="76"/>
      <c r="AR558" s="128"/>
      <c r="AS558" s="108">
        <f t="shared" si="451"/>
        <v>1</v>
      </c>
      <c r="AT558" s="249">
        <f t="shared" si="452"/>
        <v>1</v>
      </c>
      <c r="AU558" s="249">
        <f t="shared" si="453"/>
        <v>0</v>
      </c>
      <c r="AV558" s="249">
        <f t="shared" si="454"/>
        <v>0</v>
      </c>
    </row>
    <row r="559" spans="1:48" outlineLevel="1" x14ac:dyDescent="0.25">
      <c r="A559" s="4" t="s">
        <v>637</v>
      </c>
      <c r="B559" s="75" t="s">
        <v>806</v>
      </c>
      <c r="C559" s="25"/>
      <c r="D559" s="92">
        <v>25</v>
      </c>
      <c r="E559" s="110">
        <v>70</v>
      </c>
      <c r="F559" s="93">
        <f t="shared" si="487"/>
        <v>1750</v>
      </c>
      <c r="G559" s="74">
        <f t="shared" si="483"/>
        <v>0</v>
      </c>
      <c r="H559" s="95">
        <f t="shared" si="480"/>
        <v>1750</v>
      </c>
      <c r="I559" s="112"/>
      <c r="J559" s="57">
        <f t="shared" si="488"/>
        <v>1750</v>
      </c>
      <c r="K559" s="57"/>
      <c r="L559" s="57"/>
      <c r="M559" s="57"/>
      <c r="N559" s="57"/>
      <c r="O559" s="57"/>
      <c r="P559" s="68"/>
      <c r="Q559" s="58"/>
      <c r="R559" s="93">
        <v>1750</v>
      </c>
      <c r="S559" s="74">
        <f t="shared" si="443"/>
        <v>0</v>
      </c>
      <c r="T559" s="95">
        <f t="shared" si="468"/>
        <v>1750</v>
      </c>
      <c r="U559" s="112"/>
      <c r="V559" s="57">
        <f t="shared" si="489"/>
        <v>1750</v>
      </c>
      <c r="W559" s="57"/>
      <c r="X559" s="57"/>
      <c r="Y559" s="57"/>
      <c r="Z559" s="57"/>
      <c r="AA559" s="57"/>
      <c r="AB559" s="68"/>
      <c r="AC559" s="58"/>
      <c r="AD559" s="170">
        <v>1357.47</v>
      </c>
      <c r="AE559" s="89">
        <f t="shared" si="465"/>
        <v>-1357.47</v>
      </c>
      <c r="AF559" s="216">
        <f t="shared" si="466"/>
        <v>0</v>
      </c>
      <c r="AG559" s="147"/>
      <c r="AH559" s="148"/>
      <c r="AI559" s="148"/>
      <c r="AJ559" s="148"/>
      <c r="AK559" s="148"/>
      <c r="AL559" s="148"/>
      <c r="AM559" s="148"/>
      <c r="AN559" s="149"/>
      <c r="AO559" s="150"/>
      <c r="AP559" s="76"/>
      <c r="AQ559" s="76"/>
      <c r="AR559" s="128"/>
      <c r="AS559" s="108">
        <f t="shared" si="451"/>
        <v>1</v>
      </c>
      <c r="AT559" s="249">
        <f t="shared" si="452"/>
        <v>1</v>
      </c>
      <c r="AU559" s="249">
        <f t="shared" si="453"/>
        <v>0.77569714285714286</v>
      </c>
      <c r="AV559" s="249">
        <f t="shared" si="454"/>
        <v>0</v>
      </c>
    </row>
    <row r="560" spans="1:48" outlineLevel="1" x14ac:dyDescent="0.25">
      <c r="A560" s="4" t="s">
        <v>632</v>
      </c>
      <c r="B560" s="75" t="s">
        <v>807</v>
      </c>
      <c r="C560" s="25"/>
      <c r="D560" s="92">
        <v>0</v>
      </c>
      <c r="E560" s="110">
        <v>70</v>
      </c>
      <c r="F560" s="93">
        <f t="shared" si="487"/>
        <v>0</v>
      </c>
      <c r="G560" s="74">
        <f t="shared" si="483"/>
        <v>0</v>
      </c>
      <c r="H560" s="95">
        <f t="shared" si="480"/>
        <v>0</v>
      </c>
      <c r="I560" s="112"/>
      <c r="J560" s="57">
        <f t="shared" si="488"/>
        <v>0</v>
      </c>
      <c r="K560" s="57"/>
      <c r="L560" s="57"/>
      <c r="M560" s="57"/>
      <c r="N560" s="57"/>
      <c r="O560" s="57"/>
      <c r="P560" s="68"/>
      <c r="Q560" s="58"/>
      <c r="R560" s="93">
        <v>0</v>
      </c>
      <c r="S560" s="74">
        <f t="shared" si="443"/>
        <v>0</v>
      </c>
      <c r="T560" s="95">
        <f t="shared" si="468"/>
        <v>0</v>
      </c>
      <c r="U560" s="112"/>
      <c r="V560" s="57">
        <f t="shared" si="489"/>
        <v>0</v>
      </c>
      <c r="W560" s="57"/>
      <c r="X560" s="57"/>
      <c r="Y560" s="57"/>
      <c r="Z560" s="57"/>
      <c r="AA560" s="57"/>
      <c r="AB560" s="68"/>
      <c r="AC560" s="58"/>
      <c r="AD560" s="170">
        <f>P560*Q560</f>
        <v>0</v>
      </c>
      <c r="AE560" s="89">
        <f t="shared" si="465"/>
        <v>0</v>
      </c>
      <c r="AF560" s="216">
        <f t="shared" si="466"/>
        <v>0</v>
      </c>
      <c r="AG560" s="147"/>
      <c r="AH560" s="148">
        <f>O560</f>
        <v>0</v>
      </c>
      <c r="AI560" s="148"/>
      <c r="AJ560" s="148"/>
      <c r="AK560" s="148"/>
      <c r="AL560" s="148"/>
      <c r="AM560" s="148"/>
      <c r="AN560" s="149"/>
      <c r="AO560" s="150"/>
      <c r="AP560" s="76"/>
      <c r="AQ560" s="76"/>
      <c r="AR560" s="128"/>
      <c r="AS560" s="108"/>
      <c r="AT560" s="249"/>
      <c r="AU560" s="249"/>
      <c r="AV560" s="249"/>
    </row>
    <row r="561" spans="1:48" outlineLevel="1" x14ac:dyDescent="0.25">
      <c r="A561" s="4" t="s">
        <v>638</v>
      </c>
      <c r="B561" s="75" t="s">
        <v>808</v>
      </c>
      <c r="C561" s="25"/>
      <c r="D561" s="92">
        <v>25</v>
      </c>
      <c r="E561" s="110">
        <v>70</v>
      </c>
      <c r="F561" s="93">
        <f t="shared" si="487"/>
        <v>1750</v>
      </c>
      <c r="G561" s="74">
        <f t="shared" si="483"/>
        <v>0</v>
      </c>
      <c r="H561" s="95">
        <f t="shared" si="480"/>
        <v>1750</v>
      </c>
      <c r="I561" s="112"/>
      <c r="J561" s="57">
        <f t="shared" si="488"/>
        <v>1750</v>
      </c>
      <c r="K561" s="57"/>
      <c r="L561" s="57"/>
      <c r="M561" s="57"/>
      <c r="N561" s="57"/>
      <c r="O561" s="57"/>
      <c r="P561" s="68"/>
      <c r="Q561" s="58"/>
      <c r="R561" s="93">
        <v>1750</v>
      </c>
      <c r="S561" s="74">
        <f t="shared" si="443"/>
        <v>0</v>
      </c>
      <c r="T561" s="95">
        <f t="shared" si="468"/>
        <v>1750</v>
      </c>
      <c r="U561" s="112"/>
      <c r="V561" s="57">
        <f t="shared" si="489"/>
        <v>1750</v>
      </c>
      <c r="W561" s="57"/>
      <c r="X561" s="57"/>
      <c r="Y561" s="57"/>
      <c r="Z561" s="57"/>
      <c r="AA561" s="57"/>
      <c r="AB561" s="68"/>
      <c r="AC561" s="58"/>
      <c r="AD561" s="170">
        <v>1931.33</v>
      </c>
      <c r="AE561" s="89">
        <f t="shared" si="465"/>
        <v>-1931.33</v>
      </c>
      <c r="AF561" s="216">
        <f t="shared" si="466"/>
        <v>0</v>
      </c>
      <c r="AG561" s="147"/>
      <c r="AH561" s="148">
        <f>O561</f>
        <v>0</v>
      </c>
      <c r="AI561" s="148"/>
      <c r="AJ561" s="148"/>
      <c r="AK561" s="148"/>
      <c r="AL561" s="148"/>
      <c r="AM561" s="148"/>
      <c r="AN561" s="149"/>
      <c r="AO561" s="150"/>
      <c r="AP561" s="76"/>
      <c r="AQ561" s="76"/>
      <c r="AR561" s="128"/>
      <c r="AS561" s="108">
        <f t="shared" si="451"/>
        <v>1</v>
      </c>
      <c r="AT561" s="249">
        <f t="shared" si="452"/>
        <v>1</v>
      </c>
      <c r="AU561" s="249">
        <f t="shared" si="453"/>
        <v>1.1036171428571429</v>
      </c>
      <c r="AV561" s="249">
        <f t="shared" si="454"/>
        <v>0</v>
      </c>
    </row>
    <row r="562" spans="1:48" outlineLevel="1" x14ac:dyDescent="0.25">
      <c r="A562" s="4" t="s">
        <v>679</v>
      </c>
      <c r="B562" s="75" t="s">
        <v>809</v>
      </c>
      <c r="C562" s="25"/>
      <c r="D562" s="92">
        <v>25</v>
      </c>
      <c r="E562" s="110">
        <v>70</v>
      </c>
      <c r="F562" s="93">
        <f t="shared" si="487"/>
        <v>1750</v>
      </c>
      <c r="G562" s="74">
        <f t="shared" si="483"/>
        <v>0</v>
      </c>
      <c r="H562" s="95">
        <f t="shared" si="480"/>
        <v>1750</v>
      </c>
      <c r="I562" s="112"/>
      <c r="J562" s="57">
        <f t="shared" si="488"/>
        <v>1750</v>
      </c>
      <c r="K562" s="57"/>
      <c r="L562" s="57"/>
      <c r="M562" s="57"/>
      <c r="N562" s="57"/>
      <c r="O562" s="57"/>
      <c r="P562" s="68"/>
      <c r="Q562" s="58"/>
      <c r="R562" s="93">
        <v>1750</v>
      </c>
      <c r="S562" s="74">
        <f t="shared" si="443"/>
        <v>0</v>
      </c>
      <c r="T562" s="95">
        <f t="shared" si="468"/>
        <v>1750</v>
      </c>
      <c r="U562" s="112"/>
      <c r="V562" s="57">
        <f t="shared" si="489"/>
        <v>1750</v>
      </c>
      <c r="W562" s="57"/>
      <c r="X562" s="57"/>
      <c r="Y562" s="57"/>
      <c r="Z562" s="57"/>
      <c r="AA562" s="57"/>
      <c r="AB562" s="68"/>
      <c r="AC562" s="58"/>
      <c r="AD562" s="170">
        <f>P562*Q562</f>
        <v>0</v>
      </c>
      <c r="AE562" s="89">
        <f t="shared" si="465"/>
        <v>0</v>
      </c>
      <c r="AF562" s="216">
        <f t="shared" si="466"/>
        <v>0</v>
      </c>
      <c r="AG562" s="147"/>
      <c r="AH562" s="148">
        <f>O562</f>
        <v>0</v>
      </c>
      <c r="AI562" s="148"/>
      <c r="AJ562" s="148"/>
      <c r="AK562" s="148"/>
      <c r="AL562" s="148"/>
      <c r="AM562" s="148"/>
      <c r="AN562" s="149"/>
      <c r="AO562" s="150"/>
      <c r="AP562" s="76"/>
      <c r="AQ562" s="76"/>
      <c r="AR562" s="128"/>
      <c r="AS562" s="108">
        <f t="shared" si="451"/>
        <v>1</v>
      </c>
      <c r="AT562" s="249">
        <f t="shared" si="452"/>
        <v>1</v>
      </c>
      <c r="AU562" s="249">
        <f t="shared" si="453"/>
        <v>0</v>
      </c>
      <c r="AV562" s="249">
        <f t="shared" si="454"/>
        <v>0</v>
      </c>
    </row>
    <row r="563" spans="1:48" outlineLevel="1" x14ac:dyDescent="0.25">
      <c r="A563" s="4" t="s">
        <v>680</v>
      </c>
      <c r="B563" s="75" t="s">
        <v>810</v>
      </c>
      <c r="C563" s="25"/>
      <c r="D563" s="92">
        <v>25</v>
      </c>
      <c r="E563" s="110">
        <v>70</v>
      </c>
      <c r="F563" s="93">
        <f t="shared" si="487"/>
        <v>1750</v>
      </c>
      <c r="G563" s="74">
        <f t="shared" si="483"/>
        <v>0</v>
      </c>
      <c r="H563" s="95">
        <f t="shared" si="480"/>
        <v>1750</v>
      </c>
      <c r="I563" s="112"/>
      <c r="J563" s="57">
        <f t="shared" si="488"/>
        <v>1750</v>
      </c>
      <c r="K563" s="57"/>
      <c r="L563" s="57"/>
      <c r="M563" s="57"/>
      <c r="N563" s="57"/>
      <c r="O563" s="57"/>
      <c r="P563" s="68"/>
      <c r="Q563" s="58"/>
      <c r="R563" s="93">
        <v>1750</v>
      </c>
      <c r="S563" s="74">
        <f t="shared" si="443"/>
        <v>0</v>
      </c>
      <c r="T563" s="95">
        <f t="shared" si="468"/>
        <v>1750</v>
      </c>
      <c r="U563" s="112"/>
      <c r="V563" s="57">
        <f t="shared" si="489"/>
        <v>1750</v>
      </c>
      <c r="W563" s="57"/>
      <c r="X563" s="57"/>
      <c r="Y563" s="57"/>
      <c r="Z563" s="57"/>
      <c r="AA563" s="57"/>
      <c r="AB563" s="68"/>
      <c r="AC563" s="58"/>
      <c r="AD563" s="170">
        <v>1495.06</v>
      </c>
      <c r="AE563" s="89">
        <f t="shared" si="465"/>
        <v>-1495.06</v>
      </c>
      <c r="AF563" s="216">
        <f t="shared" si="466"/>
        <v>0</v>
      </c>
      <c r="AG563" s="147"/>
      <c r="AH563" s="148"/>
      <c r="AI563" s="148"/>
      <c r="AJ563" s="148"/>
      <c r="AK563" s="148"/>
      <c r="AL563" s="148"/>
      <c r="AM563" s="148"/>
      <c r="AN563" s="149"/>
      <c r="AO563" s="150"/>
      <c r="AP563" s="76"/>
      <c r="AQ563" s="76"/>
      <c r="AR563" s="128"/>
      <c r="AS563" s="108">
        <f t="shared" si="451"/>
        <v>1</v>
      </c>
      <c r="AT563" s="249">
        <f t="shared" si="452"/>
        <v>1</v>
      </c>
      <c r="AU563" s="249">
        <f t="shared" si="453"/>
        <v>0.85431999999999997</v>
      </c>
      <c r="AV563" s="249">
        <f t="shared" si="454"/>
        <v>0</v>
      </c>
    </row>
    <row r="564" spans="1:48" outlineLevel="1" x14ac:dyDescent="0.25">
      <c r="A564" s="4" t="s">
        <v>681</v>
      </c>
      <c r="B564" s="75" t="s">
        <v>811</v>
      </c>
      <c r="C564" s="25"/>
      <c r="D564" s="92">
        <v>0</v>
      </c>
      <c r="E564" s="110">
        <v>70</v>
      </c>
      <c r="F564" s="93">
        <f t="shared" si="487"/>
        <v>0</v>
      </c>
      <c r="G564" s="74">
        <f t="shared" si="483"/>
        <v>0</v>
      </c>
      <c r="H564" s="95">
        <f t="shared" si="480"/>
        <v>0</v>
      </c>
      <c r="I564" s="112"/>
      <c r="J564" s="57">
        <f t="shared" si="488"/>
        <v>0</v>
      </c>
      <c r="K564" s="57"/>
      <c r="L564" s="57"/>
      <c r="M564" s="57"/>
      <c r="N564" s="57"/>
      <c r="O564" s="57"/>
      <c r="P564" s="68"/>
      <c r="Q564" s="58"/>
      <c r="R564" s="93">
        <v>0</v>
      </c>
      <c r="S564" s="74">
        <f t="shared" si="443"/>
        <v>0</v>
      </c>
      <c r="T564" s="95">
        <f t="shared" si="468"/>
        <v>0</v>
      </c>
      <c r="U564" s="112"/>
      <c r="V564" s="57">
        <f t="shared" si="489"/>
        <v>0</v>
      </c>
      <c r="W564" s="57"/>
      <c r="X564" s="57"/>
      <c r="Y564" s="57"/>
      <c r="Z564" s="57"/>
      <c r="AA564" s="57"/>
      <c r="AB564" s="68"/>
      <c r="AC564" s="58"/>
      <c r="AD564" s="170">
        <v>1467.06</v>
      </c>
      <c r="AE564" s="89">
        <f t="shared" si="465"/>
        <v>-1467.06</v>
      </c>
      <c r="AF564" s="216">
        <f t="shared" si="466"/>
        <v>0</v>
      </c>
      <c r="AG564" s="147"/>
      <c r="AH564" s="148"/>
      <c r="AI564" s="148"/>
      <c r="AJ564" s="148"/>
      <c r="AK564" s="148"/>
      <c r="AL564" s="148"/>
      <c r="AM564" s="148"/>
      <c r="AN564" s="149"/>
      <c r="AO564" s="150"/>
      <c r="AP564" s="76"/>
      <c r="AQ564" s="76"/>
      <c r="AR564" s="128"/>
      <c r="AS564" s="108"/>
      <c r="AT564" s="249"/>
      <c r="AU564" s="249"/>
      <c r="AV564" s="249"/>
    </row>
    <row r="565" spans="1:48" outlineLevel="1" x14ac:dyDescent="0.25">
      <c r="A565" s="4" t="s">
        <v>682</v>
      </c>
      <c r="B565" s="75" t="s">
        <v>781</v>
      </c>
      <c r="C565" s="25"/>
      <c r="D565" s="92">
        <v>25</v>
      </c>
      <c r="E565" s="110">
        <v>70</v>
      </c>
      <c r="F565" s="93">
        <f t="shared" si="487"/>
        <v>1750</v>
      </c>
      <c r="G565" s="74">
        <f t="shared" si="483"/>
        <v>0</v>
      </c>
      <c r="H565" s="95">
        <f t="shared" si="480"/>
        <v>1750</v>
      </c>
      <c r="I565" s="112"/>
      <c r="J565" s="57">
        <f t="shared" si="488"/>
        <v>1750</v>
      </c>
      <c r="K565" s="57"/>
      <c r="L565" s="57"/>
      <c r="M565" s="57"/>
      <c r="N565" s="57"/>
      <c r="O565" s="57"/>
      <c r="P565" s="68"/>
      <c r="Q565" s="58"/>
      <c r="R565" s="93">
        <v>1750</v>
      </c>
      <c r="S565" s="74">
        <f t="shared" si="443"/>
        <v>0</v>
      </c>
      <c r="T565" s="95">
        <f t="shared" si="468"/>
        <v>1750</v>
      </c>
      <c r="U565" s="112"/>
      <c r="V565" s="57">
        <f t="shared" si="489"/>
        <v>1750</v>
      </c>
      <c r="W565" s="57"/>
      <c r="X565" s="57"/>
      <c r="Y565" s="57"/>
      <c r="Z565" s="57"/>
      <c r="AA565" s="57"/>
      <c r="AB565" s="68"/>
      <c r="AC565" s="58"/>
      <c r="AD565" s="170">
        <v>1040.17</v>
      </c>
      <c r="AE565" s="89">
        <f t="shared" si="465"/>
        <v>-1040.17</v>
      </c>
      <c r="AF565" s="216">
        <f t="shared" si="466"/>
        <v>0</v>
      </c>
      <c r="AG565" s="147"/>
      <c r="AH565" s="148"/>
      <c r="AI565" s="148"/>
      <c r="AJ565" s="148"/>
      <c r="AK565" s="148"/>
      <c r="AL565" s="148"/>
      <c r="AM565" s="148"/>
      <c r="AN565" s="149"/>
      <c r="AO565" s="150"/>
      <c r="AP565" s="76"/>
      <c r="AQ565" s="76"/>
      <c r="AR565" s="128"/>
      <c r="AS565" s="108">
        <f t="shared" si="451"/>
        <v>1</v>
      </c>
      <c r="AT565" s="249">
        <f t="shared" si="452"/>
        <v>1</v>
      </c>
      <c r="AU565" s="249">
        <f t="shared" si="453"/>
        <v>0.59438285714285721</v>
      </c>
      <c r="AV565" s="249">
        <f t="shared" si="454"/>
        <v>0</v>
      </c>
    </row>
    <row r="566" spans="1:48" outlineLevel="1" x14ac:dyDescent="0.25">
      <c r="A566" s="4" t="s">
        <v>683</v>
      </c>
      <c r="B566" s="75" t="s">
        <v>782</v>
      </c>
      <c r="C566" s="25"/>
      <c r="D566" s="92">
        <v>25</v>
      </c>
      <c r="E566" s="110">
        <v>70</v>
      </c>
      <c r="F566" s="93">
        <f t="shared" si="487"/>
        <v>1750</v>
      </c>
      <c r="G566" s="74">
        <f t="shared" si="483"/>
        <v>0</v>
      </c>
      <c r="H566" s="95">
        <f t="shared" si="480"/>
        <v>1750</v>
      </c>
      <c r="I566" s="112"/>
      <c r="J566" s="57">
        <f t="shared" si="488"/>
        <v>1750</v>
      </c>
      <c r="K566" s="57"/>
      <c r="L566" s="57"/>
      <c r="M566" s="57"/>
      <c r="N566" s="57"/>
      <c r="O566" s="57"/>
      <c r="P566" s="68"/>
      <c r="Q566" s="58"/>
      <c r="R566" s="93">
        <v>1750</v>
      </c>
      <c r="S566" s="74">
        <f t="shared" si="443"/>
        <v>0</v>
      </c>
      <c r="T566" s="95">
        <f t="shared" si="468"/>
        <v>1750</v>
      </c>
      <c r="U566" s="112"/>
      <c r="V566" s="57">
        <f t="shared" si="489"/>
        <v>1750</v>
      </c>
      <c r="W566" s="57"/>
      <c r="X566" s="57"/>
      <c r="Y566" s="57"/>
      <c r="Z566" s="57"/>
      <c r="AA566" s="57"/>
      <c r="AB566" s="68"/>
      <c r="AC566" s="58"/>
      <c r="AD566" s="170">
        <v>951.51</v>
      </c>
      <c r="AE566" s="89">
        <f t="shared" si="465"/>
        <v>-951.51</v>
      </c>
      <c r="AF566" s="216">
        <f t="shared" si="466"/>
        <v>0</v>
      </c>
      <c r="AG566" s="147"/>
      <c r="AH566" s="148">
        <f t="shared" ref="AH566:AH587" si="490">O566</f>
        <v>0</v>
      </c>
      <c r="AI566" s="148"/>
      <c r="AJ566" s="148"/>
      <c r="AK566" s="148"/>
      <c r="AL566" s="148"/>
      <c r="AM566" s="148"/>
      <c r="AN566" s="149"/>
      <c r="AO566" s="150"/>
      <c r="AP566" s="76"/>
      <c r="AQ566" s="76"/>
      <c r="AR566" s="128"/>
      <c r="AS566" s="108">
        <f t="shared" si="451"/>
        <v>1</v>
      </c>
      <c r="AT566" s="249">
        <f t="shared" si="452"/>
        <v>1</v>
      </c>
      <c r="AU566" s="249">
        <f t="shared" si="453"/>
        <v>0.54371999999999998</v>
      </c>
      <c r="AV566" s="249">
        <f t="shared" si="454"/>
        <v>0</v>
      </c>
    </row>
    <row r="567" spans="1:48" outlineLevel="1" x14ac:dyDescent="0.25">
      <c r="A567" s="4" t="s">
        <v>684</v>
      </c>
      <c r="B567" s="75" t="s">
        <v>783</v>
      </c>
      <c r="C567" s="25"/>
      <c r="D567" s="92">
        <v>25</v>
      </c>
      <c r="E567" s="110">
        <v>70</v>
      </c>
      <c r="F567" s="93">
        <f t="shared" si="487"/>
        <v>1750</v>
      </c>
      <c r="G567" s="74">
        <f t="shared" si="483"/>
        <v>0</v>
      </c>
      <c r="H567" s="95">
        <f t="shared" si="480"/>
        <v>1750</v>
      </c>
      <c r="I567" s="112"/>
      <c r="J567" s="57">
        <f t="shared" si="488"/>
        <v>1750</v>
      </c>
      <c r="K567" s="57"/>
      <c r="L567" s="57"/>
      <c r="M567" s="57"/>
      <c r="N567" s="57"/>
      <c r="O567" s="57"/>
      <c r="P567" s="68"/>
      <c r="Q567" s="58"/>
      <c r="R567" s="93">
        <v>1750</v>
      </c>
      <c r="S567" s="74">
        <f t="shared" si="443"/>
        <v>0</v>
      </c>
      <c r="T567" s="95">
        <f t="shared" si="468"/>
        <v>1750</v>
      </c>
      <c r="U567" s="112"/>
      <c r="V567" s="57">
        <f t="shared" si="489"/>
        <v>1750</v>
      </c>
      <c r="W567" s="57"/>
      <c r="X567" s="57"/>
      <c r="Y567" s="57"/>
      <c r="Z567" s="57"/>
      <c r="AA567" s="57"/>
      <c r="AB567" s="68"/>
      <c r="AC567" s="58"/>
      <c r="AD567" s="170">
        <v>284.2</v>
      </c>
      <c r="AE567" s="89">
        <f t="shared" si="465"/>
        <v>-284.2</v>
      </c>
      <c r="AF567" s="216">
        <f t="shared" si="466"/>
        <v>0</v>
      </c>
      <c r="AG567" s="147"/>
      <c r="AH567" s="148">
        <f t="shared" si="490"/>
        <v>0</v>
      </c>
      <c r="AI567" s="148"/>
      <c r="AJ567" s="148"/>
      <c r="AK567" s="148"/>
      <c r="AL567" s="148"/>
      <c r="AM567" s="148"/>
      <c r="AN567" s="149"/>
      <c r="AO567" s="150"/>
      <c r="AP567" s="76"/>
      <c r="AQ567" s="76"/>
      <c r="AR567" s="128"/>
      <c r="AS567" s="108">
        <f t="shared" si="451"/>
        <v>1</v>
      </c>
      <c r="AT567" s="249">
        <f t="shared" si="452"/>
        <v>1</v>
      </c>
      <c r="AU567" s="249">
        <f t="shared" si="453"/>
        <v>0.16239999999999999</v>
      </c>
      <c r="AV567" s="249">
        <f t="shared" si="454"/>
        <v>0</v>
      </c>
    </row>
    <row r="568" spans="1:48" outlineLevel="1" x14ac:dyDescent="0.25">
      <c r="A568" s="4" t="s">
        <v>685</v>
      </c>
      <c r="B568" s="75" t="s">
        <v>784</v>
      </c>
      <c r="C568" s="25"/>
      <c r="D568" s="92">
        <v>25</v>
      </c>
      <c r="E568" s="110">
        <v>70</v>
      </c>
      <c r="F568" s="93">
        <f t="shared" si="487"/>
        <v>1750</v>
      </c>
      <c r="G568" s="74">
        <f t="shared" si="483"/>
        <v>0</v>
      </c>
      <c r="H568" s="95">
        <f t="shared" si="480"/>
        <v>1750</v>
      </c>
      <c r="I568" s="112"/>
      <c r="J568" s="57">
        <f t="shared" si="488"/>
        <v>1750</v>
      </c>
      <c r="K568" s="57"/>
      <c r="L568" s="57"/>
      <c r="M568" s="57"/>
      <c r="N568" s="57"/>
      <c r="O568" s="57"/>
      <c r="P568" s="68"/>
      <c r="Q568" s="58"/>
      <c r="R568" s="93">
        <v>1750</v>
      </c>
      <c r="S568" s="74">
        <f t="shared" si="443"/>
        <v>0</v>
      </c>
      <c r="T568" s="95">
        <f t="shared" si="468"/>
        <v>1750</v>
      </c>
      <c r="U568" s="112"/>
      <c r="V568" s="57">
        <f t="shared" si="489"/>
        <v>1750</v>
      </c>
      <c r="W568" s="57"/>
      <c r="X568" s="57"/>
      <c r="Y568" s="57"/>
      <c r="Z568" s="57"/>
      <c r="AA568" s="57"/>
      <c r="AB568" s="68"/>
      <c r="AC568" s="58"/>
      <c r="AD568" s="170">
        <f t="shared" ref="AD568:AD579" si="491">P568*Q568</f>
        <v>0</v>
      </c>
      <c r="AE568" s="89">
        <f t="shared" si="465"/>
        <v>0</v>
      </c>
      <c r="AF568" s="216">
        <f t="shared" si="466"/>
        <v>0</v>
      </c>
      <c r="AG568" s="147"/>
      <c r="AH568" s="148">
        <f t="shared" si="490"/>
        <v>0</v>
      </c>
      <c r="AI568" s="148"/>
      <c r="AJ568" s="148"/>
      <c r="AK568" s="148"/>
      <c r="AL568" s="148"/>
      <c r="AM568" s="148"/>
      <c r="AN568" s="149"/>
      <c r="AO568" s="150"/>
      <c r="AP568" s="76"/>
      <c r="AQ568" s="76"/>
      <c r="AR568" s="128"/>
      <c r="AS568" s="108">
        <f t="shared" si="451"/>
        <v>1</v>
      </c>
      <c r="AT568" s="249">
        <f t="shared" si="452"/>
        <v>1</v>
      </c>
      <c r="AU568" s="249">
        <f t="shared" si="453"/>
        <v>0</v>
      </c>
      <c r="AV568" s="249">
        <f t="shared" si="454"/>
        <v>0</v>
      </c>
    </row>
    <row r="569" spans="1:48" outlineLevel="1" x14ac:dyDescent="0.25">
      <c r="A569" s="4" t="s">
        <v>686</v>
      </c>
      <c r="B569" s="75" t="s">
        <v>785</v>
      </c>
      <c r="C569" s="25"/>
      <c r="D569" s="92">
        <v>25</v>
      </c>
      <c r="E569" s="110">
        <v>70</v>
      </c>
      <c r="F569" s="93">
        <f t="shared" si="487"/>
        <v>1750</v>
      </c>
      <c r="G569" s="74">
        <f t="shared" si="483"/>
        <v>0</v>
      </c>
      <c r="H569" s="95">
        <f t="shared" si="480"/>
        <v>1750</v>
      </c>
      <c r="I569" s="112"/>
      <c r="J569" s="57">
        <f t="shared" si="488"/>
        <v>1750</v>
      </c>
      <c r="K569" s="57"/>
      <c r="L569" s="57"/>
      <c r="M569" s="57"/>
      <c r="N569" s="57"/>
      <c r="O569" s="57"/>
      <c r="P569" s="68"/>
      <c r="Q569" s="58"/>
      <c r="R569" s="93">
        <v>1750</v>
      </c>
      <c r="S569" s="74">
        <f t="shared" si="443"/>
        <v>0</v>
      </c>
      <c r="T569" s="95">
        <f t="shared" si="468"/>
        <v>1750</v>
      </c>
      <c r="U569" s="112"/>
      <c r="V569" s="57">
        <f t="shared" si="489"/>
        <v>1750</v>
      </c>
      <c r="W569" s="57"/>
      <c r="X569" s="57"/>
      <c r="Y569" s="57"/>
      <c r="Z569" s="57"/>
      <c r="AA569" s="57"/>
      <c r="AB569" s="68"/>
      <c r="AC569" s="58"/>
      <c r="AD569" s="170">
        <f t="shared" si="491"/>
        <v>0</v>
      </c>
      <c r="AE569" s="89">
        <f t="shared" si="465"/>
        <v>0</v>
      </c>
      <c r="AF569" s="216">
        <f t="shared" si="466"/>
        <v>0</v>
      </c>
      <c r="AG569" s="147"/>
      <c r="AH569" s="148">
        <f t="shared" si="490"/>
        <v>0</v>
      </c>
      <c r="AI569" s="148"/>
      <c r="AJ569" s="148"/>
      <c r="AK569" s="148"/>
      <c r="AL569" s="148"/>
      <c r="AM569" s="148"/>
      <c r="AN569" s="149"/>
      <c r="AO569" s="150"/>
      <c r="AP569" s="76"/>
      <c r="AQ569" s="76"/>
      <c r="AR569" s="128"/>
      <c r="AS569" s="108">
        <f t="shared" si="451"/>
        <v>1</v>
      </c>
      <c r="AT569" s="249">
        <f t="shared" si="452"/>
        <v>1</v>
      </c>
      <c r="AU569" s="249">
        <f t="shared" si="453"/>
        <v>0</v>
      </c>
      <c r="AV569" s="249">
        <f t="shared" si="454"/>
        <v>0</v>
      </c>
    </row>
    <row r="570" spans="1:48" outlineLevel="1" x14ac:dyDescent="0.25">
      <c r="A570" s="4" t="s">
        <v>687</v>
      </c>
      <c r="B570" s="75" t="s">
        <v>786</v>
      </c>
      <c r="C570" s="25"/>
      <c r="D570" s="92">
        <v>25</v>
      </c>
      <c r="E570" s="110">
        <v>70</v>
      </c>
      <c r="F570" s="93">
        <f t="shared" si="487"/>
        <v>1750</v>
      </c>
      <c r="G570" s="74">
        <f t="shared" si="483"/>
        <v>0</v>
      </c>
      <c r="H570" s="95">
        <f t="shared" si="480"/>
        <v>1750</v>
      </c>
      <c r="I570" s="112"/>
      <c r="J570" s="57">
        <f t="shared" si="488"/>
        <v>1750</v>
      </c>
      <c r="K570" s="57"/>
      <c r="L570" s="57"/>
      <c r="M570" s="57"/>
      <c r="N570" s="57"/>
      <c r="O570" s="57"/>
      <c r="P570" s="68"/>
      <c r="Q570" s="58"/>
      <c r="R570" s="93">
        <v>1750</v>
      </c>
      <c r="S570" s="74">
        <f t="shared" si="443"/>
        <v>0</v>
      </c>
      <c r="T570" s="95">
        <f t="shared" si="468"/>
        <v>1750</v>
      </c>
      <c r="U570" s="112"/>
      <c r="V570" s="57">
        <f t="shared" si="489"/>
        <v>1750</v>
      </c>
      <c r="W570" s="57"/>
      <c r="X570" s="57"/>
      <c r="Y570" s="57"/>
      <c r="Z570" s="57"/>
      <c r="AA570" s="57"/>
      <c r="AB570" s="68"/>
      <c r="AC570" s="58"/>
      <c r="AD570" s="170">
        <f t="shared" si="491"/>
        <v>0</v>
      </c>
      <c r="AE570" s="89">
        <f t="shared" si="465"/>
        <v>0</v>
      </c>
      <c r="AF570" s="216">
        <f t="shared" si="466"/>
        <v>0</v>
      </c>
      <c r="AG570" s="147"/>
      <c r="AH570" s="148">
        <f t="shared" si="490"/>
        <v>0</v>
      </c>
      <c r="AI570" s="148"/>
      <c r="AJ570" s="148"/>
      <c r="AK570" s="148"/>
      <c r="AL570" s="148"/>
      <c r="AM570" s="148"/>
      <c r="AN570" s="149"/>
      <c r="AO570" s="150"/>
      <c r="AP570" s="76"/>
      <c r="AQ570" s="76"/>
      <c r="AR570" s="128"/>
      <c r="AS570" s="108">
        <f t="shared" si="451"/>
        <v>1</v>
      </c>
      <c r="AT570" s="249">
        <f t="shared" si="452"/>
        <v>1</v>
      </c>
      <c r="AU570" s="249">
        <f t="shared" si="453"/>
        <v>0</v>
      </c>
      <c r="AV570" s="249">
        <f t="shared" si="454"/>
        <v>0</v>
      </c>
    </row>
    <row r="571" spans="1:48" outlineLevel="1" x14ac:dyDescent="0.25">
      <c r="A571" s="4" t="s">
        <v>688</v>
      </c>
      <c r="B571" s="75" t="s">
        <v>787</v>
      </c>
      <c r="C571" s="25"/>
      <c r="D571" s="92">
        <v>25</v>
      </c>
      <c r="E571" s="110">
        <v>70</v>
      </c>
      <c r="F571" s="93">
        <f t="shared" si="487"/>
        <v>1750</v>
      </c>
      <c r="G571" s="74">
        <f t="shared" si="483"/>
        <v>0</v>
      </c>
      <c r="H571" s="95">
        <f t="shared" si="480"/>
        <v>1750</v>
      </c>
      <c r="I571" s="112"/>
      <c r="J571" s="57">
        <f t="shared" si="488"/>
        <v>1750</v>
      </c>
      <c r="K571" s="57"/>
      <c r="L571" s="57"/>
      <c r="M571" s="57"/>
      <c r="N571" s="57"/>
      <c r="O571" s="57"/>
      <c r="P571" s="68"/>
      <c r="Q571" s="58"/>
      <c r="R571" s="93">
        <v>1750</v>
      </c>
      <c r="S571" s="74">
        <f t="shared" si="443"/>
        <v>0</v>
      </c>
      <c r="T571" s="95">
        <f t="shared" si="468"/>
        <v>1750</v>
      </c>
      <c r="U571" s="112"/>
      <c r="V571" s="57">
        <f t="shared" si="489"/>
        <v>1750</v>
      </c>
      <c r="W571" s="57"/>
      <c r="X571" s="57"/>
      <c r="Y571" s="57"/>
      <c r="Z571" s="57"/>
      <c r="AA571" s="57"/>
      <c r="AB571" s="68"/>
      <c r="AC571" s="58"/>
      <c r="AD571" s="170">
        <f t="shared" si="491"/>
        <v>0</v>
      </c>
      <c r="AE571" s="89">
        <f t="shared" si="465"/>
        <v>0</v>
      </c>
      <c r="AF571" s="216">
        <f t="shared" si="466"/>
        <v>0</v>
      </c>
      <c r="AG571" s="147"/>
      <c r="AH571" s="148">
        <f t="shared" si="490"/>
        <v>0</v>
      </c>
      <c r="AI571" s="148"/>
      <c r="AJ571" s="148"/>
      <c r="AK571" s="148"/>
      <c r="AL571" s="148"/>
      <c r="AM571" s="148"/>
      <c r="AN571" s="149"/>
      <c r="AO571" s="150"/>
      <c r="AP571" s="76"/>
      <c r="AQ571" s="76"/>
      <c r="AR571" s="128"/>
      <c r="AS571" s="108">
        <f t="shared" si="451"/>
        <v>1</v>
      </c>
      <c r="AT571" s="249">
        <f t="shared" si="452"/>
        <v>1</v>
      </c>
      <c r="AU571" s="249">
        <f t="shared" si="453"/>
        <v>0</v>
      </c>
      <c r="AV571" s="249">
        <f t="shared" si="454"/>
        <v>0</v>
      </c>
    </row>
    <row r="572" spans="1:48" outlineLevel="1" x14ac:dyDescent="0.25">
      <c r="A572" s="4" t="s">
        <v>763</v>
      </c>
      <c r="B572" s="75" t="s">
        <v>788</v>
      </c>
      <c r="C572" s="25"/>
      <c r="D572" s="92">
        <v>25</v>
      </c>
      <c r="E572" s="110">
        <v>70</v>
      </c>
      <c r="F572" s="93">
        <f t="shared" si="487"/>
        <v>1750</v>
      </c>
      <c r="G572" s="74">
        <f t="shared" si="483"/>
        <v>0</v>
      </c>
      <c r="H572" s="95">
        <f t="shared" si="480"/>
        <v>1750</v>
      </c>
      <c r="I572" s="112"/>
      <c r="J572" s="57">
        <f t="shared" si="488"/>
        <v>1750</v>
      </c>
      <c r="K572" s="57"/>
      <c r="L572" s="57"/>
      <c r="M572" s="57"/>
      <c r="N572" s="57"/>
      <c r="O572" s="57"/>
      <c r="P572" s="68"/>
      <c r="Q572" s="58"/>
      <c r="R572" s="93">
        <v>1750</v>
      </c>
      <c r="S572" s="74">
        <f t="shared" si="443"/>
        <v>0</v>
      </c>
      <c r="T572" s="95">
        <f t="shared" si="468"/>
        <v>1750</v>
      </c>
      <c r="U572" s="112"/>
      <c r="V572" s="57">
        <f t="shared" si="489"/>
        <v>1750</v>
      </c>
      <c r="W572" s="57"/>
      <c r="X572" s="57"/>
      <c r="Y572" s="57"/>
      <c r="Z572" s="57"/>
      <c r="AA572" s="57"/>
      <c r="AB572" s="68"/>
      <c r="AC572" s="58"/>
      <c r="AD572" s="170">
        <f t="shared" si="491"/>
        <v>0</v>
      </c>
      <c r="AE572" s="89">
        <f t="shared" si="465"/>
        <v>0</v>
      </c>
      <c r="AF572" s="216">
        <f t="shared" si="466"/>
        <v>0</v>
      </c>
      <c r="AG572" s="147"/>
      <c r="AH572" s="148">
        <f t="shared" si="490"/>
        <v>0</v>
      </c>
      <c r="AI572" s="148"/>
      <c r="AJ572" s="148"/>
      <c r="AK572" s="148"/>
      <c r="AL572" s="148"/>
      <c r="AM572" s="148"/>
      <c r="AN572" s="149"/>
      <c r="AO572" s="150"/>
      <c r="AP572" s="76"/>
      <c r="AQ572" s="76"/>
      <c r="AR572" s="128"/>
      <c r="AS572" s="108">
        <f t="shared" si="451"/>
        <v>1</v>
      </c>
      <c r="AT572" s="249">
        <f t="shared" si="452"/>
        <v>1</v>
      </c>
      <c r="AU572" s="249">
        <f t="shared" si="453"/>
        <v>0</v>
      </c>
      <c r="AV572" s="249">
        <f t="shared" si="454"/>
        <v>0</v>
      </c>
    </row>
    <row r="573" spans="1:48" outlineLevel="1" x14ac:dyDescent="0.25">
      <c r="A573" s="4" t="s">
        <v>764</v>
      </c>
      <c r="B573" s="75" t="s">
        <v>789</v>
      </c>
      <c r="C573" s="25"/>
      <c r="D573" s="92">
        <v>25</v>
      </c>
      <c r="E573" s="110">
        <v>70</v>
      </c>
      <c r="F573" s="93">
        <f t="shared" si="487"/>
        <v>1750</v>
      </c>
      <c r="G573" s="74">
        <f t="shared" si="483"/>
        <v>0</v>
      </c>
      <c r="H573" s="95">
        <f t="shared" si="480"/>
        <v>1750</v>
      </c>
      <c r="I573" s="112"/>
      <c r="J573" s="57">
        <f t="shared" si="488"/>
        <v>1750</v>
      </c>
      <c r="K573" s="57"/>
      <c r="L573" s="57"/>
      <c r="M573" s="57"/>
      <c r="N573" s="57"/>
      <c r="O573" s="57"/>
      <c r="P573" s="68"/>
      <c r="Q573" s="58"/>
      <c r="R573" s="93">
        <v>1750</v>
      </c>
      <c r="S573" s="74">
        <f t="shared" si="443"/>
        <v>0</v>
      </c>
      <c r="T573" s="95">
        <f t="shared" si="468"/>
        <v>1750</v>
      </c>
      <c r="U573" s="112"/>
      <c r="V573" s="57">
        <f t="shared" si="489"/>
        <v>1750</v>
      </c>
      <c r="W573" s="57"/>
      <c r="X573" s="57"/>
      <c r="Y573" s="57"/>
      <c r="Z573" s="57"/>
      <c r="AA573" s="57"/>
      <c r="AB573" s="68"/>
      <c r="AC573" s="58"/>
      <c r="AD573" s="170">
        <f t="shared" si="491"/>
        <v>0</v>
      </c>
      <c r="AE573" s="89">
        <f t="shared" si="465"/>
        <v>0</v>
      </c>
      <c r="AF573" s="216">
        <f t="shared" si="466"/>
        <v>0</v>
      </c>
      <c r="AG573" s="147"/>
      <c r="AH573" s="148">
        <f t="shared" si="490"/>
        <v>0</v>
      </c>
      <c r="AI573" s="148"/>
      <c r="AJ573" s="148"/>
      <c r="AK573" s="148"/>
      <c r="AL573" s="148"/>
      <c r="AM573" s="148"/>
      <c r="AN573" s="149"/>
      <c r="AO573" s="150"/>
      <c r="AP573" s="76"/>
      <c r="AQ573" s="76"/>
      <c r="AR573" s="128"/>
      <c r="AS573" s="108">
        <f t="shared" si="451"/>
        <v>1</v>
      </c>
      <c r="AT573" s="249">
        <f t="shared" si="452"/>
        <v>1</v>
      </c>
      <c r="AU573" s="249">
        <f t="shared" si="453"/>
        <v>0</v>
      </c>
      <c r="AV573" s="249">
        <f t="shared" si="454"/>
        <v>0</v>
      </c>
    </row>
    <row r="574" spans="1:48" outlineLevel="1" x14ac:dyDescent="0.25">
      <c r="A574" s="4" t="s">
        <v>765</v>
      </c>
      <c r="B574" s="75" t="s">
        <v>790</v>
      </c>
      <c r="C574" s="25"/>
      <c r="D574" s="92">
        <v>25</v>
      </c>
      <c r="E574" s="110">
        <v>70</v>
      </c>
      <c r="F574" s="93">
        <f t="shared" si="487"/>
        <v>1750</v>
      </c>
      <c r="G574" s="74">
        <f t="shared" si="483"/>
        <v>0</v>
      </c>
      <c r="H574" s="95">
        <f t="shared" si="480"/>
        <v>1750</v>
      </c>
      <c r="I574" s="112"/>
      <c r="J574" s="57">
        <f t="shared" si="488"/>
        <v>1750</v>
      </c>
      <c r="K574" s="57"/>
      <c r="L574" s="57"/>
      <c r="M574" s="57"/>
      <c r="N574" s="57"/>
      <c r="O574" s="57"/>
      <c r="P574" s="68"/>
      <c r="Q574" s="58"/>
      <c r="R574" s="93">
        <v>1750</v>
      </c>
      <c r="S574" s="74">
        <f t="shared" si="443"/>
        <v>0</v>
      </c>
      <c r="T574" s="95">
        <f t="shared" si="468"/>
        <v>1750</v>
      </c>
      <c r="U574" s="112"/>
      <c r="V574" s="57">
        <f t="shared" si="489"/>
        <v>1750</v>
      </c>
      <c r="W574" s="57"/>
      <c r="X574" s="57"/>
      <c r="Y574" s="57"/>
      <c r="Z574" s="57"/>
      <c r="AA574" s="57"/>
      <c r="AB574" s="68"/>
      <c r="AC574" s="58"/>
      <c r="AD574" s="170">
        <f t="shared" si="491"/>
        <v>0</v>
      </c>
      <c r="AE574" s="89">
        <f t="shared" si="465"/>
        <v>0</v>
      </c>
      <c r="AF574" s="216">
        <f t="shared" si="466"/>
        <v>0</v>
      </c>
      <c r="AG574" s="147"/>
      <c r="AH574" s="148">
        <f t="shared" si="490"/>
        <v>0</v>
      </c>
      <c r="AI574" s="148"/>
      <c r="AJ574" s="148"/>
      <c r="AK574" s="148"/>
      <c r="AL574" s="148"/>
      <c r="AM574" s="148"/>
      <c r="AN574" s="149"/>
      <c r="AO574" s="150"/>
      <c r="AP574" s="76"/>
      <c r="AQ574" s="76"/>
      <c r="AR574" s="128"/>
      <c r="AS574" s="108">
        <f t="shared" si="451"/>
        <v>1</v>
      </c>
      <c r="AT574" s="249">
        <f t="shared" si="452"/>
        <v>1</v>
      </c>
      <c r="AU574" s="249">
        <f t="shared" si="453"/>
        <v>0</v>
      </c>
      <c r="AV574" s="249">
        <f t="shared" si="454"/>
        <v>0</v>
      </c>
    </row>
    <row r="575" spans="1:48" outlineLevel="1" x14ac:dyDescent="0.25">
      <c r="A575" s="4" t="s">
        <v>766</v>
      </c>
      <c r="B575" s="75" t="s">
        <v>791</v>
      </c>
      <c r="C575" s="25"/>
      <c r="D575" s="92">
        <v>25</v>
      </c>
      <c r="E575" s="110">
        <v>70</v>
      </c>
      <c r="F575" s="93">
        <f t="shared" si="487"/>
        <v>1750</v>
      </c>
      <c r="G575" s="74">
        <f t="shared" si="483"/>
        <v>0</v>
      </c>
      <c r="H575" s="95">
        <f t="shared" si="480"/>
        <v>1750</v>
      </c>
      <c r="I575" s="112"/>
      <c r="J575" s="57">
        <f t="shared" si="488"/>
        <v>1750</v>
      </c>
      <c r="K575" s="57"/>
      <c r="L575" s="57"/>
      <c r="M575" s="57"/>
      <c r="N575" s="57"/>
      <c r="O575" s="57"/>
      <c r="P575" s="68"/>
      <c r="Q575" s="58"/>
      <c r="R575" s="93">
        <v>1750</v>
      </c>
      <c r="S575" s="74">
        <f t="shared" si="443"/>
        <v>0</v>
      </c>
      <c r="T575" s="95">
        <f t="shared" si="468"/>
        <v>1750</v>
      </c>
      <c r="U575" s="112"/>
      <c r="V575" s="57">
        <f t="shared" si="489"/>
        <v>1750</v>
      </c>
      <c r="W575" s="57"/>
      <c r="X575" s="57"/>
      <c r="Y575" s="57"/>
      <c r="Z575" s="57"/>
      <c r="AA575" s="57"/>
      <c r="AB575" s="68"/>
      <c r="AC575" s="58"/>
      <c r="AD575" s="170">
        <f t="shared" si="491"/>
        <v>0</v>
      </c>
      <c r="AE575" s="89">
        <f t="shared" si="465"/>
        <v>0</v>
      </c>
      <c r="AF575" s="216">
        <f t="shared" si="466"/>
        <v>0</v>
      </c>
      <c r="AG575" s="147"/>
      <c r="AH575" s="148">
        <f t="shared" si="490"/>
        <v>0</v>
      </c>
      <c r="AI575" s="148"/>
      <c r="AJ575" s="148"/>
      <c r="AK575" s="148"/>
      <c r="AL575" s="148"/>
      <c r="AM575" s="148"/>
      <c r="AN575" s="149"/>
      <c r="AO575" s="150"/>
      <c r="AP575" s="76"/>
      <c r="AQ575" s="76"/>
      <c r="AR575" s="128"/>
      <c r="AS575" s="108">
        <f t="shared" si="451"/>
        <v>1</v>
      </c>
      <c r="AT575" s="249">
        <f t="shared" si="452"/>
        <v>1</v>
      </c>
      <c r="AU575" s="249">
        <f t="shared" si="453"/>
        <v>0</v>
      </c>
      <c r="AV575" s="249">
        <f t="shared" si="454"/>
        <v>0</v>
      </c>
    </row>
    <row r="576" spans="1:48" outlineLevel="1" x14ac:dyDescent="0.25">
      <c r="A576" s="4" t="s">
        <v>767</v>
      </c>
      <c r="B576" s="75" t="s">
        <v>792</v>
      </c>
      <c r="C576" s="25"/>
      <c r="D576" s="92">
        <v>25</v>
      </c>
      <c r="E576" s="110">
        <v>70</v>
      </c>
      <c r="F576" s="93">
        <f t="shared" si="487"/>
        <v>1750</v>
      </c>
      <c r="G576" s="74">
        <f t="shared" si="483"/>
        <v>0</v>
      </c>
      <c r="H576" s="95">
        <f t="shared" si="480"/>
        <v>1750</v>
      </c>
      <c r="I576" s="112"/>
      <c r="J576" s="57">
        <f t="shared" si="488"/>
        <v>1750</v>
      </c>
      <c r="K576" s="57"/>
      <c r="L576" s="57"/>
      <c r="M576" s="57"/>
      <c r="N576" s="57"/>
      <c r="O576" s="57"/>
      <c r="P576" s="68"/>
      <c r="Q576" s="58"/>
      <c r="R576" s="93">
        <v>1750</v>
      </c>
      <c r="S576" s="74">
        <f t="shared" si="443"/>
        <v>0</v>
      </c>
      <c r="T576" s="95">
        <f t="shared" si="468"/>
        <v>1750</v>
      </c>
      <c r="U576" s="112"/>
      <c r="V576" s="57">
        <f t="shared" si="489"/>
        <v>1750</v>
      </c>
      <c r="W576" s="57"/>
      <c r="X576" s="57"/>
      <c r="Y576" s="57"/>
      <c r="Z576" s="57"/>
      <c r="AA576" s="57"/>
      <c r="AB576" s="68"/>
      <c r="AC576" s="58"/>
      <c r="AD576" s="170">
        <f t="shared" si="491"/>
        <v>0</v>
      </c>
      <c r="AE576" s="89">
        <f t="shared" si="465"/>
        <v>0</v>
      </c>
      <c r="AF576" s="216">
        <f t="shared" si="466"/>
        <v>0</v>
      </c>
      <c r="AG576" s="147"/>
      <c r="AH576" s="148">
        <f t="shared" si="490"/>
        <v>0</v>
      </c>
      <c r="AI576" s="148"/>
      <c r="AJ576" s="148"/>
      <c r="AK576" s="148"/>
      <c r="AL576" s="148"/>
      <c r="AM576" s="148"/>
      <c r="AN576" s="149"/>
      <c r="AO576" s="150"/>
      <c r="AP576" s="76"/>
      <c r="AQ576" s="76"/>
      <c r="AR576" s="128"/>
      <c r="AS576" s="108">
        <f t="shared" si="451"/>
        <v>1</v>
      </c>
      <c r="AT576" s="249">
        <f t="shared" si="452"/>
        <v>1</v>
      </c>
      <c r="AU576" s="249">
        <f t="shared" si="453"/>
        <v>0</v>
      </c>
      <c r="AV576" s="249">
        <f t="shared" si="454"/>
        <v>0</v>
      </c>
    </row>
    <row r="577" spans="1:48" outlineLevel="1" x14ac:dyDescent="0.25">
      <c r="A577" s="4" t="s">
        <v>768</v>
      </c>
      <c r="B577" s="75" t="s">
        <v>793</v>
      </c>
      <c r="C577" s="25"/>
      <c r="D577" s="92">
        <v>25</v>
      </c>
      <c r="E577" s="110">
        <v>70</v>
      </c>
      <c r="F577" s="93">
        <f t="shared" si="487"/>
        <v>1750</v>
      </c>
      <c r="G577" s="74">
        <f t="shared" si="483"/>
        <v>0</v>
      </c>
      <c r="H577" s="95">
        <f t="shared" si="480"/>
        <v>1750</v>
      </c>
      <c r="I577" s="112"/>
      <c r="J577" s="57">
        <f t="shared" si="488"/>
        <v>1750</v>
      </c>
      <c r="K577" s="57"/>
      <c r="L577" s="57"/>
      <c r="M577" s="57"/>
      <c r="N577" s="57"/>
      <c r="O577" s="57"/>
      <c r="P577" s="68"/>
      <c r="Q577" s="58"/>
      <c r="R577" s="93">
        <v>1750</v>
      </c>
      <c r="S577" s="74">
        <f t="shared" si="443"/>
        <v>0</v>
      </c>
      <c r="T577" s="95">
        <f t="shared" si="468"/>
        <v>1750</v>
      </c>
      <c r="U577" s="112"/>
      <c r="V577" s="57">
        <f t="shared" si="489"/>
        <v>1750</v>
      </c>
      <c r="W577" s="57"/>
      <c r="X577" s="57"/>
      <c r="Y577" s="57"/>
      <c r="Z577" s="57"/>
      <c r="AA577" s="57"/>
      <c r="AB577" s="68"/>
      <c r="AC577" s="58"/>
      <c r="AD577" s="170">
        <f t="shared" si="491"/>
        <v>0</v>
      </c>
      <c r="AE577" s="89">
        <f t="shared" si="465"/>
        <v>0</v>
      </c>
      <c r="AF577" s="216">
        <f t="shared" si="466"/>
        <v>0</v>
      </c>
      <c r="AG577" s="147"/>
      <c r="AH577" s="148">
        <f t="shared" si="490"/>
        <v>0</v>
      </c>
      <c r="AI577" s="148"/>
      <c r="AJ577" s="148"/>
      <c r="AK577" s="148"/>
      <c r="AL577" s="148"/>
      <c r="AM577" s="148"/>
      <c r="AN577" s="149"/>
      <c r="AO577" s="150"/>
      <c r="AP577" s="76"/>
      <c r="AQ577" s="76"/>
      <c r="AR577" s="128"/>
      <c r="AS577" s="108">
        <f t="shared" si="451"/>
        <v>1</v>
      </c>
      <c r="AT577" s="249">
        <f t="shared" si="452"/>
        <v>1</v>
      </c>
      <c r="AU577" s="249">
        <f t="shared" si="453"/>
        <v>0</v>
      </c>
      <c r="AV577" s="249">
        <f t="shared" si="454"/>
        <v>0</v>
      </c>
    </row>
    <row r="578" spans="1:48" outlineLevel="1" x14ac:dyDescent="0.25">
      <c r="A578" s="4" t="s">
        <v>769</v>
      </c>
      <c r="B578" s="75" t="s">
        <v>794</v>
      </c>
      <c r="C578" s="25"/>
      <c r="D578" s="92">
        <v>25</v>
      </c>
      <c r="E578" s="110">
        <v>70</v>
      </c>
      <c r="F578" s="93">
        <f t="shared" si="487"/>
        <v>1750</v>
      </c>
      <c r="G578" s="74">
        <f t="shared" si="483"/>
        <v>0</v>
      </c>
      <c r="H578" s="95">
        <f t="shared" si="480"/>
        <v>1750</v>
      </c>
      <c r="I578" s="112"/>
      <c r="J578" s="57">
        <f t="shared" si="488"/>
        <v>1750</v>
      </c>
      <c r="K578" s="57"/>
      <c r="L578" s="57"/>
      <c r="M578" s="57"/>
      <c r="N578" s="57"/>
      <c r="O578" s="57"/>
      <c r="P578" s="68"/>
      <c r="Q578" s="58"/>
      <c r="R578" s="93">
        <v>1750</v>
      </c>
      <c r="S578" s="74">
        <f t="shared" ref="S578:S592" si="492">T578-R578</f>
        <v>0</v>
      </c>
      <c r="T578" s="95">
        <f t="shared" si="468"/>
        <v>1750</v>
      </c>
      <c r="U578" s="112"/>
      <c r="V578" s="57">
        <f t="shared" si="489"/>
        <v>1750</v>
      </c>
      <c r="W578" s="57"/>
      <c r="X578" s="57"/>
      <c r="Y578" s="57"/>
      <c r="Z578" s="57"/>
      <c r="AA578" s="57"/>
      <c r="AB578" s="68"/>
      <c r="AC578" s="58"/>
      <c r="AD578" s="170">
        <f t="shared" si="491"/>
        <v>0</v>
      </c>
      <c r="AE578" s="89">
        <f t="shared" si="465"/>
        <v>0</v>
      </c>
      <c r="AF578" s="216">
        <f t="shared" si="466"/>
        <v>0</v>
      </c>
      <c r="AG578" s="147"/>
      <c r="AH578" s="148">
        <f t="shared" si="490"/>
        <v>0</v>
      </c>
      <c r="AI578" s="148"/>
      <c r="AJ578" s="148"/>
      <c r="AK578" s="148"/>
      <c r="AL578" s="148"/>
      <c r="AM578" s="148"/>
      <c r="AN578" s="149"/>
      <c r="AO578" s="150"/>
      <c r="AP578" s="76"/>
      <c r="AQ578" s="76"/>
      <c r="AR578" s="128"/>
      <c r="AS578" s="108">
        <f t="shared" si="451"/>
        <v>1</v>
      </c>
      <c r="AT578" s="249">
        <f t="shared" si="452"/>
        <v>1</v>
      </c>
      <c r="AU578" s="249">
        <f t="shared" si="453"/>
        <v>0</v>
      </c>
      <c r="AV578" s="249">
        <f t="shared" si="454"/>
        <v>0</v>
      </c>
    </row>
    <row r="579" spans="1:48" outlineLevel="1" x14ac:dyDescent="0.25">
      <c r="A579" s="4" t="s">
        <v>770</v>
      </c>
      <c r="B579" s="75" t="s">
        <v>795</v>
      </c>
      <c r="C579" s="25"/>
      <c r="D579" s="92">
        <v>25</v>
      </c>
      <c r="E579" s="110">
        <v>70</v>
      </c>
      <c r="F579" s="93">
        <f t="shared" si="487"/>
        <v>1750</v>
      </c>
      <c r="G579" s="74">
        <f t="shared" si="483"/>
        <v>0</v>
      </c>
      <c r="H579" s="95">
        <f t="shared" si="480"/>
        <v>1750</v>
      </c>
      <c r="I579" s="112"/>
      <c r="J579" s="57">
        <f t="shared" si="488"/>
        <v>1750</v>
      </c>
      <c r="K579" s="57"/>
      <c r="L579" s="57"/>
      <c r="M579" s="57"/>
      <c r="N579" s="57"/>
      <c r="O579" s="57"/>
      <c r="P579" s="68"/>
      <c r="Q579" s="58"/>
      <c r="R579" s="93">
        <v>1750</v>
      </c>
      <c r="S579" s="74">
        <f t="shared" si="492"/>
        <v>0</v>
      </c>
      <c r="T579" s="95">
        <f t="shared" si="468"/>
        <v>1750</v>
      </c>
      <c r="U579" s="112"/>
      <c r="V579" s="57">
        <f t="shared" si="489"/>
        <v>1750</v>
      </c>
      <c r="W579" s="57"/>
      <c r="X579" s="57"/>
      <c r="Y579" s="57"/>
      <c r="Z579" s="57"/>
      <c r="AA579" s="57"/>
      <c r="AB579" s="68"/>
      <c r="AC579" s="58"/>
      <c r="AD579" s="170">
        <f t="shared" si="491"/>
        <v>0</v>
      </c>
      <c r="AE579" s="89">
        <f t="shared" si="465"/>
        <v>0</v>
      </c>
      <c r="AF579" s="216">
        <f t="shared" si="466"/>
        <v>0</v>
      </c>
      <c r="AG579" s="147"/>
      <c r="AH579" s="148">
        <f t="shared" si="490"/>
        <v>0</v>
      </c>
      <c r="AI579" s="148"/>
      <c r="AJ579" s="148"/>
      <c r="AK579" s="148"/>
      <c r="AL579" s="148"/>
      <c r="AM579" s="148"/>
      <c r="AN579" s="149"/>
      <c r="AO579" s="150"/>
      <c r="AP579" s="76"/>
      <c r="AQ579" s="76"/>
      <c r="AR579" s="128"/>
      <c r="AS579" s="108">
        <f t="shared" si="451"/>
        <v>1</v>
      </c>
      <c r="AT579" s="249">
        <f t="shared" si="452"/>
        <v>1</v>
      </c>
      <c r="AU579" s="249">
        <f t="shared" si="453"/>
        <v>0</v>
      </c>
      <c r="AV579" s="249">
        <f t="shared" si="454"/>
        <v>0</v>
      </c>
    </row>
    <row r="580" spans="1:48" outlineLevel="1" x14ac:dyDescent="0.25">
      <c r="A580" s="4" t="s">
        <v>771</v>
      </c>
      <c r="B580" s="75" t="s">
        <v>796</v>
      </c>
      <c r="C580" s="25"/>
      <c r="D580" s="92">
        <v>25</v>
      </c>
      <c r="E580" s="110">
        <v>70</v>
      </c>
      <c r="F580" s="93">
        <f t="shared" si="487"/>
        <v>1750</v>
      </c>
      <c r="G580" s="74">
        <f t="shared" si="483"/>
        <v>0</v>
      </c>
      <c r="H580" s="95">
        <f t="shared" si="480"/>
        <v>1750</v>
      </c>
      <c r="I580" s="112"/>
      <c r="J580" s="57">
        <f t="shared" si="488"/>
        <v>1750</v>
      </c>
      <c r="K580" s="57"/>
      <c r="L580" s="57"/>
      <c r="M580" s="57"/>
      <c r="N580" s="57"/>
      <c r="O580" s="57"/>
      <c r="P580" s="68"/>
      <c r="Q580" s="58"/>
      <c r="R580" s="93">
        <v>1750</v>
      </c>
      <c r="S580" s="74">
        <f t="shared" si="492"/>
        <v>0</v>
      </c>
      <c r="T580" s="95">
        <f t="shared" si="468"/>
        <v>1750</v>
      </c>
      <c r="U580" s="112"/>
      <c r="V580" s="57">
        <f t="shared" si="489"/>
        <v>1750</v>
      </c>
      <c r="W580" s="57"/>
      <c r="X580" s="57"/>
      <c r="Y580" s="57"/>
      <c r="Z580" s="57"/>
      <c r="AA580" s="57"/>
      <c r="AB580" s="68"/>
      <c r="AC580" s="58"/>
      <c r="AD580" s="170">
        <v>782</v>
      </c>
      <c r="AE580" s="89">
        <f t="shared" si="465"/>
        <v>-782</v>
      </c>
      <c r="AF580" s="216">
        <f t="shared" si="466"/>
        <v>0</v>
      </c>
      <c r="AG580" s="147"/>
      <c r="AH580" s="148">
        <f t="shared" si="490"/>
        <v>0</v>
      </c>
      <c r="AI580" s="148"/>
      <c r="AJ580" s="148"/>
      <c r="AK580" s="148"/>
      <c r="AL580" s="148"/>
      <c r="AM580" s="148"/>
      <c r="AN580" s="149"/>
      <c r="AO580" s="150"/>
      <c r="AP580" s="76"/>
      <c r="AQ580" s="76"/>
      <c r="AR580" s="128"/>
      <c r="AS580" s="108">
        <f t="shared" si="451"/>
        <v>1</v>
      </c>
      <c r="AT580" s="249">
        <f t="shared" si="452"/>
        <v>1</v>
      </c>
      <c r="AU580" s="249">
        <f t="shared" si="453"/>
        <v>0.44685714285714284</v>
      </c>
      <c r="AV580" s="249">
        <f t="shared" si="454"/>
        <v>0</v>
      </c>
    </row>
    <row r="581" spans="1:48" outlineLevel="1" x14ac:dyDescent="0.25">
      <c r="A581" s="4" t="s">
        <v>772</v>
      </c>
      <c r="B581" s="75" t="s">
        <v>797</v>
      </c>
      <c r="C581" s="25"/>
      <c r="D581" s="92">
        <v>25</v>
      </c>
      <c r="E581" s="110">
        <v>70</v>
      </c>
      <c r="F581" s="93">
        <f t="shared" si="487"/>
        <v>1750</v>
      </c>
      <c r="G581" s="74">
        <f t="shared" si="483"/>
        <v>0</v>
      </c>
      <c r="H581" s="95">
        <f t="shared" si="480"/>
        <v>1750</v>
      </c>
      <c r="I581" s="112"/>
      <c r="J581" s="57">
        <f t="shared" si="488"/>
        <v>1750</v>
      </c>
      <c r="K581" s="57"/>
      <c r="L581" s="57"/>
      <c r="M581" s="57"/>
      <c r="N581" s="57"/>
      <c r="O581" s="57"/>
      <c r="P581" s="68"/>
      <c r="Q581" s="58"/>
      <c r="R581" s="93">
        <v>1750</v>
      </c>
      <c r="S581" s="74">
        <f t="shared" si="492"/>
        <v>0</v>
      </c>
      <c r="T581" s="95">
        <f t="shared" si="468"/>
        <v>1750</v>
      </c>
      <c r="U581" s="112"/>
      <c r="V581" s="57">
        <f t="shared" si="489"/>
        <v>1750</v>
      </c>
      <c r="W581" s="57"/>
      <c r="X581" s="57"/>
      <c r="Y581" s="57"/>
      <c r="Z581" s="57"/>
      <c r="AA581" s="57"/>
      <c r="AB581" s="68"/>
      <c r="AC581" s="58"/>
      <c r="AD581" s="170">
        <f t="shared" ref="AD581:AD588" si="493">P581*Q581</f>
        <v>0</v>
      </c>
      <c r="AE581" s="89">
        <f t="shared" si="465"/>
        <v>0</v>
      </c>
      <c r="AF581" s="216">
        <f t="shared" si="466"/>
        <v>0</v>
      </c>
      <c r="AG581" s="147"/>
      <c r="AH581" s="148">
        <f t="shared" si="490"/>
        <v>0</v>
      </c>
      <c r="AI581" s="148"/>
      <c r="AJ581" s="148"/>
      <c r="AK581" s="148"/>
      <c r="AL581" s="148"/>
      <c r="AM581" s="148"/>
      <c r="AN581" s="149"/>
      <c r="AO581" s="150"/>
      <c r="AP581" s="76"/>
      <c r="AQ581" s="76"/>
      <c r="AR581" s="128"/>
      <c r="AS581" s="108">
        <f t="shared" ref="AS581:AS595" si="494">+R581/F581</f>
        <v>1</v>
      </c>
      <c r="AT581" s="249">
        <f t="shared" ref="AT581:AT595" si="495">+T581/H581</f>
        <v>1</v>
      </c>
      <c r="AU581" s="249">
        <f t="shared" ref="AU581:AU595" si="496">+AD581/F581</f>
        <v>0</v>
      </c>
      <c r="AV581" s="249">
        <f t="shared" ref="AV581:AV595" si="497">+AF581/H581</f>
        <v>0</v>
      </c>
    </row>
    <row r="582" spans="1:48" outlineLevel="1" x14ac:dyDescent="0.25">
      <c r="A582" s="4" t="s">
        <v>773</v>
      </c>
      <c r="B582" s="75" t="s">
        <v>798</v>
      </c>
      <c r="C582" s="25"/>
      <c r="D582" s="92">
        <v>25</v>
      </c>
      <c r="E582" s="110">
        <v>70</v>
      </c>
      <c r="F582" s="93">
        <f t="shared" si="487"/>
        <v>1750</v>
      </c>
      <c r="G582" s="74">
        <f t="shared" si="483"/>
        <v>0</v>
      </c>
      <c r="H582" s="95">
        <f t="shared" si="480"/>
        <v>1750</v>
      </c>
      <c r="I582" s="112"/>
      <c r="J582" s="57">
        <f t="shared" si="488"/>
        <v>1750</v>
      </c>
      <c r="K582" s="57"/>
      <c r="L582" s="57"/>
      <c r="M582" s="57"/>
      <c r="N582" s="57"/>
      <c r="O582" s="57"/>
      <c r="P582" s="68"/>
      <c r="Q582" s="58"/>
      <c r="R582" s="93">
        <v>1750</v>
      </c>
      <c r="S582" s="74">
        <f t="shared" si="492"/>
        <v>0</v>
      </c>
      <c r="T582" s="95">
        <f t="shared" si="468"/>
        <v>1750</v>
      </c>
      <c r="U582" s="112"/>
      <c r="V582" s="57">
        <f t="shared" si="489"/>
        <v>1750</v>
      </c>
      <c r="W582" s="57"/>
      <c r="X582" s="57"/>
      <c r="Y582" s="57"/>
      <c r="Z582" s="57"/>
      <c r="AA582" s="57"/>
      <c r="AB582" s="68"/>
      <c r="AC582" s="58"/>
      <c r="AD582" s="170">
        <f t="shared" si="493"/>
        <v>0</v>
      </c>
      <c r="AE582" s="89">
        <f t="shared" si="465"/>
        <v>0</v>
      </c>
      <c r="AF582" s="216">
        <f t="shared" si="466"/>
        <v>0</v>
      </c>
      <c r="AG582" s="147"/>
      <c r="AH582" s="148">
        <f t="shared" si="490"/>
        <v>0</v>
      </c>
      <c r="AI582" s="148"/>
      <c r="AJ582" s="148"/>
      <c r="AK582" s="148"/>
      <c r="AL582" s="148"/>
      <c r="AM582" s="148"/>
      <c r="AN582" s="149"/>
      <c r="AO582" s="150"/>
      <c r="AP582" s="76"/>
      <c r="AQ582" s="76"/>
      <c r="AR582" s="128"/>
      <c r="AS582" s="108">
        <f t="shared" si="494"/>
        <v>1</v>
      </c>
      <c r="AT582" s="249">
        <f t="shared" si="495"/>
        <v>1</v>
      </c>
      <c r="AU582" s="249">
        <f t="shared" si="496"/>
        <v>0</v>
      </c>
      <c r="AV582" s="249">
        <f t="shared" si="497"/>
        <v>0</v>
      </c>
    </row>
    <row r="583" spans="1:48" outlineLevel="1" x14ac:dyDescent="0.25">
      <c r="A583" s="4" t="s">
        <v>774</v>
      </c>
      <c r="B583" s="75" t="s">
        <v>799</v>
      </c>
      <c r="C583" s="25"/>
      <c r="D583" s="92">
        <v>25</v>
      </c>
      <c r="E583" s="110">
        <v>70</v>
      </c>
      <c r="F583" s="93">
        <f t="shared" si="487"/>
        <v>1750</v>
      </c>
      <c r="G583" s="74">
        <f t="shared" si="483"/>
        <v>0</v>
      </c>
      <c r="H583" s="95">
        <f t="shared" si="480"/>
        <v>1750</v>
      </c>
      <c r="I583" s="112"/>
      <c r="J583" s="57">
        <f t="shared" si="488"/>
        <v>1750</v>
      </c>
      <c r="K583" s="57"/>
      <c r="L583" s="57"/>
      <c r="M583" s="57"/>
      <c r="N583" s="57"/>
      <c r="O583" s="57"/>
      <c r="P583" s="68"/>
      <c r="Q583" s="58"/>
      <c r="R583" s="93">
        <v>1750</v>
      </c>
      <c r="S583" s="74">
        <f t="shared" si="492"/>
        <v>0</v>
      </c>
      <c r="T583" s="95">
        <f t="shared" si="468"/>
        <v>1750</v>
      </c>
      <c r="U583" s="112"/>
      <c r="V583" s="57">
        <f t="shared" si="489"/>
        <v>1750</v>
      </c>
      <c r="W583" s="57"/>
      <c r="X583" s="57"/>
      <c r="Y583" s="57"/>
      <c r="Z583" s="57"/>
      <c r="AA583" s="57"/>
      <c r="AB583" s="68"/>
      <c r="AC583" s="58"/>
      <c r="AD583" s="170">
        <f t="shared" si="493"/>
        <v>0</v>
      </c>
      <c r="AE583" s="89">
        <f t="shared" si="465"/>
        <v>0</v>
      </c>
      <c r="AF583" s="216">
        <f t="shared" si="466"/>
        <v>0</v>
      </c>
      <c r="AG583" s="147"/>
      <c r="AH583" s="148">
        <f t="shared" si="490"/>
        <v>0</v>
      </c>
      <c r="AI583" s="148"/>
      <c r="AJ583" s="148"/>
      <c r="AK583" s="148"/>
      <c r="AL583" s="148"/>
      <c r="AM583" s="148"/>
      <c r="AN583" s="149"/>
      <c r="AO583" s="150"/>
      <c r="AP583" s="76"/>
      <c r="AQ583" s="76"/>
      <c r="AR583" s="128"/>
      <c r="AS583" s="108">
        <f t="shared" si="494"/>
        <v>1</v>
      </c>
      <c r="AT583" s="249">
        <f t="shared" si="495"/>
        <v>1</v>
      </c>
      <c r="AU583" s="249">
        <f t="shared" si="496"/>
        <v>0</v>
      </c>
      <c r="AV583" s="249">
        <f t="shared" si="497"/>
        <v>0</v>
      </c>
    </row>
    <row r="584" spans="1:48" outlineLevel="1" x14ac:dyDescent="0.25">
      <c r="A584" s="4" t="s">
        <v>775</v>
      </c>
      <c r="B584" s="75" t="s">
        <v>800</v>
      </c>
      <c r="C584" s="25"/>
      <c r="D584" s="92">
        <v>25</v>
      </c>
      <c r="E584" s="110">
        <v>70</v>
      </c>
      <c r="F584" s="93">
        <f t="shared" si="487"/>
        <v>1750</v>
      </c>
      <c r="G584" s="74">
        <f t="shared" si="483"/>
        <v>0</v>
      </c>
      <c r="H584" s="95">
        <f t="shared" si="480"/>
        <v>1750</v>
      </c>
      <c r="I584" s="112"/>
      <c r="J584" s="57">
        <f t="shared" si="488"/>
        <v>1750</v>
      </c>
      <c r="K584" s="57"/>
      <c r="L584" s="57"/>
      <c r="M584" s="57"/>
      <c r="N584" s="57"/>
      <c r="O584" s="57"/>
      <c r="P584" s="68"/>
      <c r="Q584" s="58"/>
      <c r="R584" s="93">
        <v>1750</v>
      </c>
      <c r="S584" s="74">
        <f t="shared" si="492"/>
        <v>0</v>
      </c>
      <c r="T584" s="95">
        <f t="shared" si="468"/>
        <v>1750</v>
      </c>
      <c r="U584" s="112"/>
      <c r="V584" s="57">
        <f t="shared" si="489"/>
        <v>1750</v>
      </c>
      <c r="W584" s="57"/>
      <c r="X584" s="57"/>
      <c r="Y584" s="57"/>
      <c r="Z584" s="57"/>
      <c r="AA584" s="57"/>
      <c r="AB584" s="68"/>
      <c r="AC584" s="58"/>
      <c r="AD584" s="170">
        <f t="shared" si="493"/>
        <v>0</v>
      </c>
      <c r="AE584" s="89">
        <f t="shared" si="465"/>
        <v>0</v>
      </c>
      <c r="AF584" s="216">
        <f t="shared" si="466"/>
        <v>0</v>
      </c>
      <c r="AG584" s="147"/>
      <c r="AH584" s="148">
        <f t="shared" si="490"/>
        <v>0</v>
      </c>
      <c r="AI584" s="148"/>
      <c r="AJ584" s="148"/>
      <c r="AK584" s="148"/>
      <c r="AL584" s="148"/>
      <c r="AM584" s="148"/>
      <c r="AN584" s="149"/>
      <c r="AO584" s="150"/>
      <c r="AP584" s="76"/>
      <c r="AQ584" s="76"/>
      <c r="AR584" s="128"/>
      <c r="AS584" s="108">
        <f t="shared" si="494"/>
        <v>1</v>
      </c>
      <c r="AT584" s="249">
        <f t="shared" si="495"/>
        <v>1</v>
      </c>
      <c r="AU584" s="249">
        <f t="shared" si="496"/>
        <v>0</v>
      </c>
      <c r="AV584" s="249">
        <f t="shared" si="497"/>
        <v>0</v>
      </c>
    </row>
    <row r="585" spans="1:48" outlineLevel="1" x14ac:dyDescent="0.25">
      <c r="A585" s="4" t="s">
        <v>776</v>
      </c>
      <c r="B585" s="75" t="s">
        <v>801</v>
      </c>
      <c r="C585" s="25"/>
      <c r="D585" s="92">
        <v>25</v>
      </c>
      <c r="E585" s="110">
        <v>70</v>
      </c>
      <c r="F585" s="93">
        <f t="shared" si="487"/>
        <v>1750</v>
      </c>
      <c r="G585" s="74">
        <f t="shared" si="483"/>
        <v>0</v>
      </c>
      <c r="H585" s="95">
        <f t="shared" si="480"/>
        <v>1750</v>
      </c>
      <c r="I585" s="112"/>
      <c r="J585" s="57">
        <f t="shared" si="488"/>
        <v>1750</v>
      </c>
      <c r="K585" s="57"/>
      <c r="L585" s="57"/>
      <c r="M585" s="57"/>
      <c r="N585" s="57"/>
      <c r="O585" s="57"/>
      <c r="P585" s="68"/>
      <c r="Q585" s="58"/>
      <c r="R585" s="93">
        <v>1750</v>
      </c>
      <c r="S585" s="74">
        <f t="shared" si="492"/>
        <v>0</v>
      </c>
      <c r="T585" s="95">
        <f t="shared" si="468"/>
        <v>1750</v>
      </c>
      <c r="U585" s="112"/>
      <c r="V585" s="57">
        <f t="shared" si="489"/>
        <v>1750</v>
      </c>
      <c r="W585" s="57"/>
      <c r="X585" s="57"/>
      <c r="Y585" s="57"/>
      <c r="Z585" s="57"/>
      <c r="AA585" s="57"/>
      <c r="AB585" s="68"/>
      <c r="AC585" s="58"/>
      <c r="AD585" s="170">
        <f t="shared" si="493"/>
        <v>0</v>
      </c>
      <c r="AE585" s="89">
        <f t="shared" si="465"/>
        <v>0</v>
      </c>
      <c r="AF585" s="216">
        <f t="shared" si="466"/>
        <v>0</v>
      </c>
      <c r="AG585" s="147"/>
      <c r="AH585" s="148">
        <f t="shared" si="490"/>
        <v>0</v>
      </c>
      <c r="AI585" s="148"/>
      <c r="AJ585" s="148"/>
      <c r="AK585" s="148"/>
      <c r="AL585" s="148"/>
      <c r="AM585" s="148"/>
      <c r="AN585" s="149"/>
      <c r="AO585" s="150"/>
      <c r="AP585" s="76"/>
      <c r="AQ585" s="76"/>
      <c r="AR585" s="128"/>
      <c r="AS585" s="108">
        <f t="shared" si="494"/>
        <v>1</v>
      </c>
      <c r="AT585" s="249">
        <f t="shared" si="495"/>
        <v>1</v>
      </c>
      <c r="AU585" s="249">
        <f t="shared" si="496"/>
        <v>0</v>
      </c>
      <c r="AV585" s="249">
        <f t="shared" si="497"/>
        <v>0</v>
      </c>
    </row>
    <row r="586" spans="1:48" outlineLevel="1" x14ac:dyDescent="0.25">
      <c r="A586" s="4" t="s">
        <v>777</v>
      </c>
      <c r="B586" s="75" t="s">
        <v>802</v>
      </c>
      <c r="C586" s="25"/>
      <c r="D586" s="92">
        <v>25</v>
      </c>
      <c r="E586" s="110">
        <v>70</v>
      </c>
      <c r="F586" s="93">
        <f t="shared" si="487"/>
        <v>1750</v>
      </c>
      <c r="G586" s="74">
        <f t="shared" si="483"/>
        <v>0</v>
      </c>
      <c r="H586" s="95">
        <f t="shared" si="480"/>
        <v>1750</v>
      </c>
      <c r="I586" s="112"/>
      <c r="J586" s="57">
        <f t="shared" si="488"/>
        <v>1750</v>
      </c>
      <c r="K586" s="57"/>
      <c r="L586" s="57"/>
      <c r="M586" s="57"/>
      <c r="N586" s="57"/>
      <c r="O586" s="57"/>
      <c r="P586" s="68"/>
      <c r="Q586" s="58"/>
      <c r="R586" s="93">
        <v>1750</v>
      </c>
      <c r="S586" s="74">
        <f t="shared" si="492"/>
        <v>0</v>
      </c>
      <c r="T586" s="95">
        <f t="shared" si="468"/>
        <v>1750</v>
      </c>
      <c r="U586" s="112"/>
      <c r="V586" s="57">
        <f t="shared" si="489"/>
        <v>1750</v>
      </c>
      <c r="W586" s="57"/>
      <c r="X586" s="57"/>
      <c r="Y586" s="57"/>
      <c r="Z586" s="57"/>
      <c r="AA586" s="57"/>
      <c r="AB586" s="68"/>
      <c r="AC586" s="58"/>
      <c r="AD586" s="170">
        <f t="shared" si="493"/>
        <v>0</v>
      </c>
      <c r="AE586" s="89">
        <f t="shared" si="465"/>
        <v>0</v>
      </c>
      <c r="AF586" s="216">
        <f t="shared" si="466"/>
        <v>0</v>
      </c>
      <c r="AG586" s="147"/>
      <c r="AH586" s="148">
        <f t="shared" si="490"/>
        <v>0</v>
      </c>
      <c r="AI586" s="148"/>
      <c r="AJ586" s="148"/>
      <c r="AK586" s="148"/>
      <c r="AL586" s="148"/>
      <c r="AM586" s="148"/>
      <c r="AN586" s="149"/>
      <c r="AO586" s="150"/>
      <c r="AP586" s="76"/>
      <c r="AQ586" s="76"/>
      <c r="AR586" s="128"/>
      <c r="AS586" s="108">
        <f t="shared" si="494"/>
        <v>1</v>
      </c>
      <c r="AT586" s="249">
        <f t="shared" si="495"/>
        <v>1</v>
      </c>
      <c r="AU586" s="249">
        <f t="shared" si="496"/>
        <v>0</v>
      </c>
      <c r="AV586" s="249">
        <f t="shared" si="497"/>
        <v>0</v>
      </c>
    </row>
    <row r="587" spans="1:48" outlineLevel="1" x14ac:dyDescent="0.25">
      <c r="A587" s="4" t="s">
        <v>778</v>
      </c>
      <c r="B587" s="75" t="s">
        <v>803</v>
      </c>
      <c r="C587" s="25"/>
      <c r="D587" s="92">
        <v>25</v>
      </c>
      <c r="E587" s="110">
        <v>70</v>
      </c>
      <c r="F587" s="93">
        <f t="shared" si="487"/>
        <v>1750</v>
      </c>
      <c r="G587" s="74">
        <f t="shared" si="483"/>
        <v>0</v>
      </c>
      <c r="H587" s="95">
        <f t="shared" si="480"/>
        <v>1750</v>
      </c>
      <c r="I587" s="112"/>
      <c r="J587" s="57">
        <f t="shared" si="488"/>
        <v>1750</v>
      </c>
      <c r="K587" s="57"/>
      <c r="L587" s="57"/>
      <c r="M587" s="57"/>
      <c r="N587" s="57"/>
      <c r="O587" s="57"/>
      <c r="P587" s="68"/>
      <c r="Q587" s="58"/>
      <c r="R587" s="93">
        <v>1750</v>
      </c>
      <c r="S587" s="74">
        <f t="shared" si="492"/>
        <v>0</v>
      </c>
      <c r="T587" s="95">
        <f t="shared" si="468"/>
        <v>1750</v>
      </c>
      <c r="U587" s="112"/>
      <c r="V587" s="57">
        <f t="shared" si="489"/>
        <v>1750</v>
      </c>
      <c r="W587" s="57"/>
      <c r="X587" s="57"/>
      <c r="Y587" s="57"/>
      <c r="Z587" s="57"/>
      <c r="AA587" s="57"/>
      <c r="AB587" s="68"/>
      <c r="AC587" s="58"/>
      <c r="AD587" s="170">
        <f t="shared" si="493"/>
        <v>0</v>
      </c>
      <c r="AE587" s="89">
        <f t="shared" si="465"/>
        <v>0</v>
      </c>
      <c r="AF587" s="216">
        <f t="shared" si="466"/>
        <v>0</v>
      </c>
      <c r="AG587" s="147"/>
      <c r="AH587" s="148">
        <f t="shared" si="490"/>
        <v>0</v>
      </c>
      <c r="AI587" s="148"/>
      <c r="AJ587" s="148"/>
      <c r="AK587" s="148"/>
      <c r="AL587" s="148"/>
      <c r="AM587" s="148"/>
      <c r="AN587" s="149"/>
      <c r="AO587" s="150"/>
      <c r="AP587" s="76"/>
      <c r="AQ587" s="76"/>
      <c r="AR587" s="128"/>
      <c r="AS587" s="108">
        <f t="shared" si="494"/>
        <v>1</v>
      </c>
      <c r="AT587" s="249">
        <f t="shared" si="495"/>
        <v>1</v>
      </c>
      <c r="AU587" s="249">
        <f t="shared" si="496"/>
        <v>0</v>
      </c>
      <c r="AV587" s="249">
        <f t="shared" si="497"/>
        <v>0</v>
      </c>
    </row>
    <row r="588" spans="1:48" outlineLevel="1" x14ac:dyDescent="0.25">
      <c r="A588" s="4" t="s">
        <v>779</v>
      </c>
      <c r="B588" s="75" t="s">
        <v>992</v>
      </c>
      <c r="C588" s="25"/>
      <c r="D588" s="92">
        <v>1</v>
      </c>
      <c r="E588" s="110">
        <v>1000</v>
      </c>
      <c r="F588" s="93">
        <f t="shared" si="487"/>
        <v>1000</v>
      </c>
      <c r="G588" s="74">
        <f t="shared" si="483"/>
        <v>0</v>
      </c>
      <c r="H588" s="95">
        <f t="shared" si="480"/>
        <v>1000</v>
      </c>
      <c r="I588" s="112">
        <v>1000</v>
      </c>
      <c r="J588" s="57"/>
      <c r="K588" s="57"/>
      <c r="L588" s="57"/>
      <c r="M588" s="57"/>
      <c r="N588" s="57"/>
      <c r="O588" s="57"/>
      <c r="P588" s="68"/>
      <c r="Q588" s="58"/>
      <c r="R588" s="93">
        <v>1000</v>
      </c>
      <c r="S588" s="74">
        <f t="shared" si="492"/>
        <v>0</v>
      </c>
      <c r="T588" s="95">
        <f t="shared" si="468"/>
        <v>1000</v>
      </c>
      <c r="U588" s="112">
        <v>1000</v>
      </c>
      <c r="V588" s="57"/>
      <c r="W588" s="57"/>
      <c r="X588" s="57"/>
      <c r="Y588" s="57"/>
      <c r="Z588" s="57"/>
      <c r="AA588" s="57"/>
      <c r="AB588" s="68"/>
      <c r="AC588" s="58"/>
      <c r="AD588" s="170">
        <f t="shared" si="493"/>
        <v>0</v>
      </c>
      <c r="AE588" s="89">
        <f t="shared" si="465"/>
        <v>0</v>
      </c>
      <c r="AF588" s="216">
        <f t="shared" si="466"/>
        <v>0</v>
      </c>
      <c r="AG588" s="147"/>
      <c r="AH588" s="148"/>
      <c r="AI588" s="148"/>
      <c r="AJ588" s="148"/>
      <c r="AK588" s="148"/>
      <c r="AL588" s="148"/>
      <c r="AM588" s="148"/>
      <c r="AN588" s="149"/>
      <c r="AO588" s="150"/>
      <c r="AP588" s="76"/>
      <c r="AQ588" s="76"/>
      <c r="AR588" s="128"/>
      <c r="AS588" s="108">
        <f t="shared" si="494"/>
        <v>1</v>
      </c>
      <c r="AT588" s="249">
        <f t="shared" si="495"/>
        <v>1</v>
      </c>
      <c r="AU588" s="249">
        <f t="shared" si="496"/>
        <v>0</v>
      </c>
      <c r="AV588" s="249">
        <f t="shared" si="497"/>
        <v>0</v>
      </c>
    </row>
    <row r="589" spans="1:48" outlineLevel="1" x14ac:dyDescent="0.25">
      <c r="A589" s="4" t="s">
        <v>780</v>
      </c>
      <c r="B589" s="75" t="s">
        <v>47</v>
      </c>
      <c r="C589" s="25"/>
      <c r="D589" s="92"/>
      <c r="E589" s="110"/>
      <c r="F589" s="93">
        <f t="shared" si="487"/>
        <v>0</v>
      </c>
      <c r="G589" s="74">
        <f t="shared" si="483"/>
        <v>0</v>
      </c>
      <c r="H589" s="95">
        <f t="shared" si="480"/>
        <v>0</v>
      </c>
      <c r="I589" s="112"/>
      <c r="J589" s="57">
        <f t="shared" si="488"/>
        <v>0</v>
      </c>
      <c r="K589" s="57"/>
      <c r="L589" s="57"/>
      <c r="M589" s="57"/>
      <c r="N589" s="57"/>
      <c r="O589" s="57"/>
      <c r="P589" s="68"/>
      <c r="Q589" s="58"/>
      <c r="R589" s="93">
        <v>0</v>
      </c>
      <c r="S589" s="74">
        <f t="shared" si="492"/>
        <v>0</v>
      </c>
      <c r="T589" s="95">
        <f t="shared" si="468"/>
        <v>0</v>
      </c>
      <c r="U589" s="112"/>
      <c r="V589" s="57">
        <f>R589</f>
        <v>0</v>
      </c>
      <c r="W589" s="57"/>
      <c r="X589" s="57"/>
      <c r="Y589" s="57"/>
      <c r="Z589" s="57"/>
      <c r="AA589" s="57"/>
      <c r="AB589" s="68"/>
      <c r="AC589" s="58"/>
      <c r="AD589" s="170">
        <v>0</v>
      </c>
      <c r="AE589" s="89">
        <f t="shared" si="465"/>
        <v>0</v>
      </c>
      <c r="AF589" s="216">
        <f t="shared" si="466"/>
        <v>0</v>
      </c>
      <c r="AG589" s="147"/>
      <c r="AH589" s="148"/>
      <c r="AI589" s="148"/>
      <c r="AJ589" s="148"/>
      <c r="AK589" s="148"/>
      <c r="AL589" s="148"/>
      <c r="AM589" s="148"/>
      <c r="AN589" s="149"/>
      <c r="AO589" s="150"/>
      <c r="AP589" s="76"/>
      <c r="AQ589" s="76"/>
      <c r="AR589" s="128"/>
      <c r="AS589" s="108"/>
      <c r="AT589" s="249"/>
      <c r="AU589" s="249"/>
      <c r="AV589" s="249"/>
    </row>
    <row r="590" spans="1:48" s="3" customFormat="1" ht="15.75" x14ac:dyDescent="0.25">
      <c r="A590" s="7" t="s">
        <v>633</v>
      </c>
      <c r="B590" s="13" t="s">
        <v>250</v>
      </c>
      <c r="C590" s="23"/>
      <c r="D590" s="24"/>
      <c r="E590" s="17"/>
      <c r="F590" s="82">
        <f>SUM(F591:F593)</f>
        <v>6125</v>
      </c>
      <c r="G590" s="89">
        <f t="shared" si="483"/>
        <v>0</v>
      </c>
      <c r="H590" s="18">
        <f t="shared" si="480"/>
        <v>6125</v>
      </c>
      <c r="I590" s="54">
        <f t="shared" ref="I590:Q590" si="498">SUM(I591:I593)</f>
        <v>6125</v>
      </c>
      <c r="J590" s="55">
        <f t="shared" si="498"/>
        <v>0</v>
      </c>
      <c r="K590" s="55">
        <f t="shared" si="498"/>
        <v>0</v>
      </c>
      <c r="L590" s="55">
        <f t="shared" si="498"/>
        <v>0</v>
      </c>
      <c r="M590" s="55">
        <f t="shared" si="498"/>
        <v>0</v>
      </c>
      <c r="N590" s="55">
        <f t="shared" si="498"/>
        <v>0</v>
      </c>
      <c r="O590" s="55">
        <f t="shared" si="498"/>
        <v>0</v>
      </c>
      <c r="P590" s="55">
        <f t="shared" si="498"/>
        <v>0</v>
      </c>
      <c r="Q590" s="56">
        <f t="shared" si="498"/>
        <v>0</v>
      </c>
      <c r="R590" s="82">
        <f>SUM(R591:R593)</f>
        <v>6125</v>
      </c>
      <c r="S590" s="89">
        <f t="shared" si="492"/>
        <v>0</v>
      </c>
      <c r="T590" s="18">
        <f t="shared" si="468"/>
        <v>6125</v>
      </c>
      <c r="U590" s="54">
        <f t="shared" ref="U590:AC590" si="499">SUM(U591:U593)</f>
        <v>6125</v>
      </c>
      <c r="V590" s="55">
        <f t="shared" si="499"/>
        <v>0</v>
      </c>
      <c r="W590" s="55">
        <f t="shared" si="499"/>
        <v>0</v>
      </c>
      <c r="X590" s="55">
        <f t="shared" si="499"/>
        <v>0</v>
      </c>
      <c r="Y590" s="55">
        <f t="shared" si="499"/>
        <v>0</v>
      </c>
      <c r="Z590" s="55">
        <f t="shared" si="499"/>
        <v>0</v>
      </c>
      <c r="AA590" s="55">
        <f t="shared" si="499"/>
        <v>0</v>
      </c>
      <c r="AB590" s="55">
        <f t="shared" si="499"/>
        <v>0</v>
      </c>
      <c r="AC590" s="56">
        <f t="shared" si="499"/>
        <v>0</v>
      </c>
      <c r="AD590" s="169">
        <f>SUM(AD591:AD593)</f>
        <v>0</v>
      </c>
      <c r="AE590" s="89">
        <f t="shared" si="465"/>
        <v>0</v>
      </c>
      <c r="AF590" s="216">
        <f t="shared" si="466"/>
        <v>0</v>
      </c>
      <c r="AG590" s="144">
        <f t="shared" ref="AG590:AO590" si="500">SUM(AG591:AG593)</f>
        <v>0</v>
      </c>
      <c r="AH590" s="145">
        <f t="shared" si="500"/>
        <v>0</v>
      </c>
      <c r="AI590" s="145">
        <f t="shared" si="500"/>
        <v>0</v>
      </c>
      <c r="AJ590" s="145">
        <f t="shared" si="500"/>
        <v>0</v>
      </c>
      <c r="AK590" s="145">
        <f t="shared" si="500"/>
        <v>0</v>
      </c>
      <c r="AL590" s="145">
        <f t="shared" si="500"/>
        <v>0</v>
      </c>
      <c r="AM590" s="145">
        <f t="shared" si="500"/>
        <v>0</v>
      </c>
      <c r="AN590" s="145">
        <f t="shared" si="500"/>
        <v>0</v>
      </c>
      <c r="AO590" s="146">
        <f t="shared" si="500"/>
        <v>0</v>
      </c>
      <c r="AP590" s="33">
        <v>16061</v>
      </c>
      <c r="AQ590" s="33">
        <f>7715.28+1142.69+5053.52+126.07+312+200+42.25+18.68</f>
        <v>14610.49</v>
      </c>
      <c r="AR590" s="127">
        <f>AQ590*100/AP590</f>
        <v>90.96874416287902</v>
      </c>
      <c r="AS590" s="108">
        <f t="shared" si="494"/>
        <v>1</v>
      </c>
      <c r="AT590" s="249">
        <f t="shared" si="495"/>
        <v>1</v>
      </c>
      <c r="AU590" s="249">
        <f t="shared" si="496"/>
        <v>0</v>
      </c>
      <c r="AV590" s="249">
        <f t="shared" si="497"/>
        <v>0</v>
      </c>
    </row>
    <row r="591" spans="1:48" outlineLevel="1" x14ac:dyDescent="0.25">
      <c r="A591" s="4" t="s">
        <v>634</v>
      </c>
      <c r="B591" s="75" t="s">
        <v>813</v>
      </c>
      <c r="C591" s="25"/>
      <c r="D591" s="92">
        <v>5</v>
      </c>
      <c r="E591" s="110">
        <v>25</v>
      </c>
      <c r="F591" s="93">
        <f>D591*E591</f>
        <v>125</v>
      </c>
      <c r="G591" s="74">
        <f t="shared" si="483"/>
        <v>0</v>
      </c>
      <c r="H591" s="95">
        <f t="shared" si="480"/>
        <v>125</v>
      </c>
      <c r="I591" s="112">
        <f>F591</f>
        <v>125</v>
      </c>
      <c r="J591" s="57"/>
      <c r="K591" s="57"/>
      <c r="L591" s="57"/>
      <c r="M591" s="57"/>
      <c r="N591" s="57"/>
      <c r="O591" s="57"/>
      <c r="P591" s="68"/>
      <c r="Q591" s="58"/>
      <c r="R591" s="93">
        <v>125</v>
      </c>
      <c r="S591" s="74">
        <f t="shared" si="492"/>
        <v>0</v>
      </c>
      <c r="T591" s="95">
        <f t="shared" si="468"/>
        <v>125</v>
      </c>
      <c r="U591" s="112">
        <f>R591</f>
        <v>125</v>
      </c>
      <c r="V591" s="57"/>
      <c r="W591" s="57"/>
      <c r="X591" s="57"/>
      <c r="Y591" s="57"/>
      <c r="Z591" s="57"/>
      <c r="AA591" s="57"/>
      <c r="AB591" s="68"/>
      <c r="AC591" s="58"/>
      <c r="AD591" s="170">
        <f>P591*Q591</f>
        <v>0</v>
      </c>
      <c r="AE591" s="89">
        <f t="shared" si="465"/>
        <v>0</v>
      </c>
      <c r="AF591" s="216">
        <f t="shared" si="466"/>
        <v>0</v>
      </c>
      <c r="AG591" s="147">
        <f>Q591</f>
        <v>0</v>
      </c>
      <c r="AH591" s="148"/>
      <c r="AI591" s="148"/>
      <c r="AJ591" s="148"/>
      <c r="AK591" s="148"/>
      <c r="AL591" s="148"/>
      <c r="AM591" s="148"/>
      <c r="AN591" s="149"/>
      <c r="AO591" s="150"/>
      <c r="AP591" s="76"/>
      <c r="AQ591" s="76"/>
      <c r="AR591" s="128"/>
      <c r="AS591" s="108">
        <f t="shared" si="494"/>
        <v>1</v>
      </c>
      <c r="AT591" s="249">
        <f t="shared" si="495"/>
        <v>1</v>
      </c>
      <c r="AU591" s="249">
        <f t="shared" si="496"/>
        <v>0</v>
      </c>
      <c r="AV591" s="249">
        <f t="shared" si="497"/>
        <v>0</v>
      </c>
    </row>
    <row r="592" spans="1:48" outlineLevel="1" x14ac:dyDescent="0.25">
      <c r="A592" s="4" t="s">
        <v>635</v>
      </c>
      <c r="B592" s="75" t="s">
        <v>837</v>
      </c>
      <c r="C592" s="25"/>
      <c r="D592" s="92">
        <v>1</v>
      </c>
      <c r="E592" s="110">
        <v>6000</v>
      </c>
      <c r="F592" s="93">
        <f>D592*E592</f>
        <v>6000</v>
      </c>
      <c r="G592" s="74">
        <f t="shared" si="483"/>
        <v>0</v>
      </c>
      <c r="H592" s="95">
        <f t="shared" si="480"/>
        <v>6000</v>
      </c>
      <c r="I592" s="112">
        <v>6000</v>
      </c>
      <c r="J592" s="57"/>
      <c r="K592" s="57"/>
      <c r="L592" s="57"/>
      <c r="M592" s="57"/>
      <c r="N592" s="57"/>
      <c r="O592" s="57"/>
      <c r="P592" s="68"/>
      <c r="Q592" s="58"/>
      <c r="R592" s="93">
        <v>6000</v>
      </c>
      <c r="S592" s="74">
        <f t="shared" si="492"/>
        <v>0</v>
      </c>
      <c r="T592" s="95">
        <f t="shared" si="468"/>
        <v>6000</v>
      </c>
      <c r="U592" s="112">
        <v>6000</v>
      </c>
      <c r="V592" s="57"/>
      <c r="W592" s="57"/>
      <c r="X592" s="57"/>
      <c r="Y592" s="57"/>
      <c r="Z592" s="57"/>
      <c r="AA592" s="57"/>
      <c r="AB592" s="68"/>
      <c r="AC592" s="58"/>
      <c r="AD592" s="170">
        <f>P592*Q592</f>
        <v>0</v>
      </c>
      <c r="AE592" s="89">
        <f t="shared" si="465"/>
        <v>0</v>
      </c>
      <c r="AF592" s="216">
        <f t="shared" si="466"/>
        <v>0</v>
      </c>
      <c r="AG592" s="147"/>
      <c r="AH592" s="148"/>
      <c r="AI592" s="148"/>
      <c r="AJ592" s="148"/>
      <c r="AK592" s="148"/>
      <c r="AL592" s="148"/>
      <c r="AM592" s="148"/>
      <c r="AN592" s="149"/>
      <c r="AO592" s="150"/>
      <c r="AP592" s="76"/>
      <c r="AQ592" s="76"/>
      <c r="AR592" s="128"/>
      <c r="AS592" s="108">
        <f t="shared" si="494"/>
        <v>1</v>
      </c>
      <c r="AT592" s="249">
        <f t="shared" si="495"/>
        <v>1</v>
      </c>
      <c r="AU592" s="249">
        <f t="shared" si="496"/>
        <v>0</v>
      </c>
      <c r="AV592" s="249">
        <f t="shared" si="497"/>
        <v>0</v>
      </c>
    </row>
    <row r="593" spans="1:48" outlineLevel="1" x14ac:dyDescent="0.25">
      <c r="A593" s="4" t="s">
        <v>1159</v>
      </c>
      <c r="B593" s="75" t="s">
        <v>47</v>
      </c>
      <c r="C593" s="25"/>
      <c r="D593" s="92"/>
      <c r="E593" s="110"/>
      <c r="F593" s="93">
        <f>D593*E593</f>
        <v>0</v>
      </c>
      <c r="G593" s="74">
        <f>H593-F593</f>
        <v>0</v>
      </c>
      <c r="H593" s="95">
        <f t="shared" si="480"/>
        <v>0</v>
      </c>
      <c r="I593" s="112"/>
      <c r="J593" s="57"/>
      <c r="K593" s="57"/>
      <c r="L593" s="57"/>
      <c r="M593" s="57"/>
      <c r="N593" s="57"/>
      <c r="O593" s="57"/>
      <c r="P593" s="68"/>
      <c r="Q593" s="58"/>
      <c r="R593" s="93">
        <f>P593*Q593</f>
        <v>0</v>
      </c>
      <c r="S593" s="74">
        <f>T593-R593</f>
        <v>0</v>
      </c>
      <c r="T593" s="95">
        <f t="shared" si="468"/>
        <v>0</v>
      </c>
      <c r="U593" s="112"/>
      <c r="V593" s="57"/>
      <c r="W593" s="57"/>
      <c r="X593" s="57"/>
      <c r="Y593" s="57"/>
      <c r="Z593" s="57"/>
      <c r="AA593" s="57"/>
      <c r="AB593" s="68"/>
      <c r="AC593" s="58"/>
      <c r="AD593" s="170">
        <f>P593*Q593</f>
        <v>0</v>
      </c>
      <c r="AE593" s="89">
        <f t="shared" si="465"/>
        <v>0</v>
      </c>
      <c r="AF593" s="216">
        <f t="shared" si="466"/>
        <v>0</v>
      </c>
      <c r="AG593" s="147"/>
      <c r="AH593" s="148"/>
      <c r="AI593" s="148"/>
      <c r="AJ593" s="148"/>
      <c r="AK593" s="148"/>
      <c r="AL593" s="148"/>
      <c r="AM593" s="148"/>
      <c r="AN593" s="149"/>
      <c r="AO593" s="150"/>
      <c r="AP593" s="76"/>
      <c r="AQ593" s="76"/>
      <c r="AR593" s="128"/>
      <c r="AS593" s="108"/>
      <c r="AT593" s="249"/>
      <c r="AU593" s="249"/>
      <c r="AV593" s="249"/>
    </row>
    <row r="594" spans="1:48" s="3" customFormat="1" ht="15.75" x14ac:dyDescent="0.25">
      <c r="A594" s="7" t="s">
        <v>639</v>
      </c>
      <c r="B594" s="13" t="s">
        <v>495</v>
      </c>
      <c r="C594" s="23"/>
      <c r="D594" s="24"/>
      <c r="E594" s="17"/>
      <c r="F594" s="82">
        <f>SUM(F595:F595)</f>
        <v>8550</v>
      </c>
      <c r="G594" s="89">
        <f>H594-F594</f>
        <v>0</v>
      </c>
      <c r="H594" s="18">
        <f t="shared" si="480"/>
        <v>8550</v>
      </c>
      <c r="I594" s="54">
        <f t="shared" ref="I594:AO594" si="501">SUM(I595:I595)</f>
        <v>0</v>
      </c>
      <c r="J594" s="55">
        <f t="shared" si="501"/>
        <v>8550</v>
      </c>
      <c r="K594" s="55">
        <f t="shared" si="501"/>
        <v>0</v>
      </c>
      <c r="L594" s="55">
        <f t="shared" si="501"/>
        <v>0</v>
      </c>
      <c r="M594" s="55">
        <f t="shared" si="501"/>
        <v>0</v>
      </c>
      <c r="N594" s="55">
        <f t="shared" si="501"/>
        <v>0</v>
      </c>
      <c r="O594" s="55">
        <f t="shared" si="501"/>
        <v>0</v>
      </c>
      <c r="P594" s="55">
        <f t="shared" si="501"/>
        <v>0</v>
      </c>
      <c r="Q594" s="56">
        <f t="shared" si="501"/>
        <v>0</v>
      </c>
      <c r="R594" s="82">
        <f>SUM(R595:R595)</f>
        <v>8550</v>
      </c>
      <c r="S594" s="89">
        <f>T594-R594</f>
        <v>0</v>
      </c>
      <c r="T594" s="18">
        <f t="shared" si="468"/>
        <v>8550</v>
      </c>
      <c r="U594" s="54">
        <f t="shared" si="501"/>
        <v>0</v>
      </c>
      <c r="V594" s="55">
        <f t="shared" si="501"/>
        <v>8550</v>
      </c>
      <c r="W594" s="55">
        <f t="shared" si="501"/>
        <v>0</v>
      </c>
      <c r="X594" s="55">
        <f t="shared" si="501"/>
        <v>0</v>
      </c>
      <c r="Y594" s="55">
        <f t="shared" si="501"/>
        <v>0</v>
      </c>
      <c r="Z594" s="55">
        <f t="shared" si="501"/>
        <v>0</v>
      </c>
      <c r="AA594" s="55">
        <f t="shared" si="501"/>
        <v>0</v>
      </c>
      <c r="AB594" s="55">
        <f t="shared" si="501"/>
        <v>0</v>
      </c>
      <c r="AC594" s="56">
        <f t="shared" si="501"/>
        <v>0</v>
      </c>
      <c r="AD594" s="169">
        <f>SUM(AD595:AD595)</f>
        <v>0</v>
      </c>
      <c r="AE594" s="89">
        <f t="shared" si="465"/>
        <v>0</v>
      </c>
      <c r="AF594" s="216">
        <f t="shared" si="466"/>
        <v>0</v>
      </c>
      <c r="AG594" s="144">
        <f t="shared" si="501"/>
        <v>0</v>
      </c>
      <c r="AH594" s="145">
        <f t="shared" si="501"/>
        <v>0</v>
      </c>
      <c r="AI594" s="145">
        <f t="shared" si="501"/>
        <v>0</v>
      </c>
      <c r="AJ594" s="145">
        <f t="shared" si="501"/>
        <v>0</v>
      </c>
      <c r="AK594" s="145">
        <f t="shared" si="501"/>
        <v>0</v>
      </c>
      <c r="AL594" s="145">
        <f t="shared" si="501"/>
        <v>0</v>
      </c>
      <c r="AM594" s="145">
        <f t="shared" si="501"/>
        <v>0</v>
      </c>
      <c r="AN594" s="145">
        <f t="shared" si="501"/>
        <v>0</v>
      </c>
      <c r="AO594" s="146">
        <f t="shared" si="501"/>
        <v>0</v>
      </c>
      <c r="AP594" s="33">
        <v>10100</v>
      </c>
      <c r="AQ594" s="33">
        <v>10100</v>
      </c>
      <c r="AR594" s="127">
        <f>AQ594*100/AP594</f>
        <v>100</v>
      </c>
      <c r="AS594" s="108">
        <f t="shared" si="494"/>
        <v>1</v>
      </c>
      <c r="AT594" s="249">
        <f t="shared" si="495"/>
        <v>1</v>
      </c>
      <c r="AU594" s="249">
        <f t="shared" si="496"/>
        <v>0</v>
      </c>
      <c r="AV594" s="249">
        <f t="shared" si="497"/>
        <v>0</v>
      </c>
    </row>
    <row r="595" spans="1:48" ht="15.75" outlineLevel="1" thickBot="1" x14ac:dyDescent="0.3">
      <c r="A595" s="130" t="s">
        <v>640</v>
      </c>
      <c r="B595" s="43" t="s">
        <v>495</v>
      </c>
      <c r="C595" s="44"/>
      <c r="D595" s="45">
        <v>1</v>
      </c>
      <c r="E595" s="46">
        <v>8550</v>
      </c>
      <c r="F595" s="87">
        <f>D595*E595</f>
        <v>8550</v>
      </c>
      <c r="G595" s="91">
        <f>H595-F595</f>
        <v>0</v>
      </c>
      <c r="H595" s="47">
        <f t="shared" si="480"/>
        <v>8550</v>
      </c>
      <c r="I595" s="63"/>
      <c r="J595" s="64">
        <f>F595</f>
        <v>8550</v>
      </c>
      <c r="K595" s="64"/>
      <c r="L595" s="64"/>
      <c r="M595" s="64"/>
      <c r="N595" s="64"/>
      <c r="O595" s="64"/>
      <c r="P595" s="70"/>
      <c r="Q595" s="65"/>
      <c r="R595" s="87">
        <v>8550</v>
      </c>
      <c r="S595" s="91">
        <f>T595-R595</f>
        <v>0</v>
      </c>
      <c r="T595" s="47">
        <f t="shared" si="468"/>
        <v>8550</v>
      </c>
      <c r="U595" s="63"/>
      <c r="V595" s="64">
        <f>R595</f>
        <v>8550</v>
      </c>
      <c r="W595" s="64"/>
      <c r="X595" s="64"/>
      <c r="Y595" s="64"/>
      <c r="Z595" s="64"/>
      <c r="AA595" s="64"/>
      <c r="AB595" s="70"/>
      <c r="AC595" s="65"/>
      <c r="AD595" s="174">
        <f>P595*Q595</f>
        <v>0</v>
      </c>
      <c r="AE595" s="89">
        <f t="shared" si="465"/>
        <v>0</v>
      </c>
      <c r="AF595" s="216">
        <f t="shared" si="466"/>
        <v>0</v>
      </c>
      <c r="AG595" s="159"/>
      <c r="AH595" s="160">
        <f>O595</f>
        <v>0</v>
      </c>
      <c r="AI595" s="160"/>
      <c r="AJ595" s="160"/>
      <c r="AK595" s="160"/>
      <c r="AL595" s="160"/>
      <c r="AM595" s="160"/>
      <c r="AN595" s="161"/>
      <c r="AO595" s="162"/>
      <c r="AP595" s="77"/>
      <c r="AQ595" s="77"/>
      <c r="AR595" s="131"/>
      <c r="AS595" s="108">
        <f t="shared" si="494"/>
        <v>1</v>
      </c>
      <c r="AT595" s="249">
        <f t="shared" si="495"/>
        <v>1</v>
      </c>
      <c r="AU595" s="249">
        <f t="shared" si="496"/>
        <v>0</v>
      </c>
      <c r="AV595" s="249">
        <f t="shared" si="497"/>
        <v>0</v>
      </c>
    </row>
    <row r="596" spans="1:48" ht="15.75" thickTop="1" x14ac:dyDescent="0.25"/>
  </sheetData>
  <mergeCells count="4">
    <mergeCell ref="I1:Q1"/>
    <mergeCell ref="AP1:AR1"/>
    <mergeCell ref="R1:AC1"/>
    <mergeCell ref="AD1:AO1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Y890"/>
  <sheetViews>
    <sheetView workbookViewId="0">
      <pane xSplit="2" ySplit="3" topLeftCell="C331" activePane="bottomRight" state="frozen"/>
      <selection pane="topRight" activeCell="C1" sqref="C1"/>
      <selection pane="bottomLeft" activeCell="A4" sqref="A4"/>
      <selection pane="bottomRight" activeCell="B21" sqref="B21"/>
    </sheetView>
  </sheetViews>
  <sheetFormatPr defaultColWidth="9.140625" defaultRowHeight="15" outlineLevelRow="1" x14ac:dyDescent="0.25"/>
  <cols>
    <col min="1" max="1" width="9" style="297" customWidth="1"/>
    <col min="2" max="2" width="60.7109375" style="295" customWidth="1"/>
    <col min="3" max="3" width="17.7109375" style="298" customWidth="1"/>
    <col min="4" max="4" width="15.5703125" style="299" customWidth="1"/>
    <col min="5" max="5" width="15.5703125" style="498" customWidth="1"/>
    <col min="6" max="6" width="15.5703125" style="299" customWidth="1"/>
    <col min="7" max="7" width="11" style="298" customWidth="1"/>
    <col min="8" max="8" width="10.85546875" style="298" customWidth="1"/>
    <col min="9" max="12" width="15.5703125" style="300" customWidth="1"/>
    <col min="13" max="14" width="10.85546875" style="301" customWidth="1"/>
    <col min="15" max="23" width="12.7109375" style="302" customWidth="1"/>
    <col min="24" max="24" width="14.42578125" style="303" customWidth="1"/>
    <col min="25" max="25" width="12.7109375" style="302" customWidth="1"/>
    <col min="26" max="26" width="17.42578125" style="302" customWidth="1"/>
    <col min="27" max="27" width="17.5703125" style="302" customWidth="1"/>
    <col min="28" max="28" width="15.85546875" style="302" customWidth="1"/>
    <col min="29" max="29" width="12.7109375" style="302" customWidth="1"/>
    <col min="30" max="30" width="13.85546875" style="302" customWidth="1"/>
    <col min="31" max="32" width="12.7109375" style="302" customWidth="1"/>
    <col min="33" max="33" width="10.28515625" style="295" customWidth="1"/>
    <col min="34" max="48" width="9.140625" style="295" customWidth="1"/>
    <col min="49" max="16384" width="9.140625" style="295"/>
  </cols>
  <sheetData>
    <row r="1" spans="1:103" ht="15.75" thickBot="1" x14ac:dyDescent="0.3">
      <c r="B1" s="454"/>
      <c r="X1" s="303">
        <v>760100</v>
      </c>
      <c r="Z1" s="302">
        <v>760300</v>
      </c>
      <c r="AA1" s="302">
        <v>760401</v>
      </c>
      <c r="AB1" s="302">
        <v>760402</v>
      </c>
      <c r="AC1" s="304">
        <v>760740</v>
      </c>
      <c r="AD1" s="304" t="s">
        <v>1338</v>
      </c>
      <c r="AE1" s="305">
        <v>5.79</v>
      </c>
      <c r="AF1" s="304" t="s">
        <v>1339</v>
      </c>
    </row>
    <row r="2" spans="1:103" ht="30" customHeight="1" x14ac:dyDescent="0.25">
      <c r="A2" s="306"/>
      <c r="B2" s="307" t="s">
        <v>1397</v>
      </c>
      <c r="C2" s="596" t="s">
        <v>1351</v>
      </c>
      <c r="D2" s="597"/>
      <c r="E2" s="597"/>
      <c r="F2" s="597"/>
      <c r="G2" s="598"/>
      <c r="H2" s="599"/>
      <c r="I2" s="600" t="s">
        <v>1352</v>
      </c>
      <c r="J2" s="600"/>
      <c r="K2" s="600"/>
      <c r="L2" s="600"/>
      <c r="M2" s="597"/>
      <c r="N2" s="597"/>
      <c r="O2" s="601" t="s">
        <v>1370</v>
      </c>
      <c r="P2" s="602"/>
      <c r="Q2" s="602"/>
      <c r="R2" s="602"/>
      <c r="S2" s="602"/>
      <c r="T2" s="602"/>
      <c r="U2" s="602"/>
      <c r="V2" s="602"/>
      <c r="W2" s="603"/>
      <c r="X2" s="604" t="s">
        <v>1346</v>
      </c>
      <c r="Y2" s="604"/>
      <c r="Z2" s="604"/>
      <c r="AA2" s="604"/>
      <c r="AB2" s="604"/>
      <c r="AC2" s="604"/>
      <c r="AD2" s="604"/>
      <c r="AE2" s="604"/>
      <c r="AF2" s="605"/>
    </row>
    <row r="3" spans="1:103" ht="48" customHeight="1" x14ac:dyDescent="0.25">
      <c r="A3" s="308" t="s">
        <v>7</v>
      </c>
      <c r="B3" s="308" t="s">
        <v>1195</v>
      </c>
      <c r="C3" s="466" t="s">
        <v>1337</v>
      </c>
      <c r="D3" s="453" t="s">
        <v>1369</v>
      </c>
      <c r="E3" s="512" t="s">
        <v>1429</v>
      </c>
      <c r="F3" s="309" t="s">
        <v>1344</v>
      </c>
      <c r="G3" s="310" t="s">
        <v>1371</v>
      </c>
      <c r="H3" s="484" t="s">
        <v>1350</v>
      </c>
      <c r="I3" s="465" t="s">
        <v>1337</v>
      </c>
      <c r="J3" s="453" t="s">
        <v>1369</v>
      </c>
      <c r="K3" s="512" t="s">
        <v>1424</v>
      </c>
      <c r="L3" s="311" t="s">
        <v>1344</v>
      </c>
      <c r="M3" s="312" t="s">
        <v>1371</v>
      </c>
      <c r="N3" s="313" t="s">
        <v>1350</v>
      </c>
      <c r="O3" s="443" t="s">
        <v>44</v>
      </c>
      <c r="P3" s="444" t="s">
        <v>88</v>
      </c>
      <c r="Q3" s="444" t="s">
        <v>45</v>
      </c>
      <c r="R3" s="444" t="s">
        <v>46</v>
      </c>
      <c r="S3" s="444" t="s">
        <v>885</v>
      </c>
      <c r="T3" s="444" t="s">
        <v>60</v>
      </c>
      <c r="U3" s="444" t="s">
        <v>886</v>
      </c>
      <c r="V3" s="444" t="s">
        <v>693</v>
      </c>
      <c r="W3" s="445" t="s">
        <v>47</v>
      </c>
      <c r="X3" s="317" t="s">
        <v>44</v>
      </c>
      <c r="Y3" s="314" t="s">
        <v>88</v>
      </c>
      <c r="Z3" s="314" t="s">
        <v>45</v>
      </c>
      <c r="AA3" s="314" t="s">
        <v>46</v>
      </c>
      <c r="AB3" s="314" t="s">
        <v>885</v>
      </c>
      <c r="AC3" s="314" t="s">
        <v>60</v>
      </c>
      <c r="AD3" s="314" t="s">
        <v>886</v>
      </c>
      <c r="AE3" s="315" t="s">
        <v>693</v>
      </c>
      <c r="AF3" s="316" t="s">
        <v>47</v>
      </c>
    </row>
    <row r="4" spans="1:103" s="328" customFormat="1" ht="30" customHeight="1" x14ac:dyDescent="0.35">
      <c r="A4" s="318"/>
      <c r="B4" s="471" t="s">
        <v>1332</v>
      </c>
      <c r="C4" s="467">
        <v>1834711</v>
      </c>
      <c r="D4" s="319">
        <f>+D6-V6</f>
        <v>1939966.7991666666</v>
      </c>
      <c r="E4" s="499">
        <f>+E6-208533</f>
        <v>1716619.3940000003</v>
      </c>
      <c r="F4" s="319">
        <f>+F6-AE6</f>
        <v>1830233.17</v>
      </c>
      <c r="G4" s="320"/>
      <c r="H4" s="485"/>
      <c r="I4" s="322">
        <v>1839455</v>
      </c>
      <c r="J4" s="319">
        <f>+J6-V6</f>
        <v>1873804.1700000002</v>
      </c>
      <c r="K4" s="322"/>
      <c r="L4" s="322">
        <f>+L6-AE6</f>
        <v>1830554.15</v>
      </c>
      <c r="M4" s="323"/>
      <c r="N4" s="321"/>
      <c r="O4" s="428"/>
      <c r="P4" s="462"/>
      <c r="Q4" s="462"/>
      <c r="R4" s="462"/>
      <c r="S4" s="462"/>
      <c r="T4" s="462"/>
      <c r="U4" s="462"/>
      <c r="V4" s="462"/>
      <c r="W4" s="463"/>
      <c r="X4" s="327"/>
      <c r="Y4" s="324"/>
      <c r="Z4" s="324"/>
      <c r="AA4" s="324"/>
      <c r="AB4" s="324"/>
      <c r="AC4" s="324"/>
      <c r="AD4" s="324"/>
      <c r="AE4" s="325"/>
      <c r="AF4" s="326"/>
    </row>
    <row r="5" spans="1:103" s="328" customFormat="1" ht="30" customHeight="1" x14ac:dyDescent="0.35">
      <c r="A5" s="318"/>
      <c r="B5" s="471" t="s">
        <v>1342</v>
      </c>
      <c r="C5" s="467"/>
      <c r="D5" s="319"/>
      <c r="E5" s="499"/>
      <c r="F5" s="319"/>
      <c r="G5" s="320"/>
      <c r="H5" s="485"/>
      <c r="I5" s="322">
        <v>4744</v>
      </c>
      <c r="J5" s="319">
        <f>+J6-D6</f>
        <v>-66162.629166666418</v>
      </c>
      <c r="K5" s="322"/>
      <c r="L5" s="322">
        <f>+L6-F6</f>
        <v>320.97999999998137</v>
      </c>
      <c r="M5" s="323"/>
      <c r="N5" s="321"/>
      <c r="O5" s="459">
        <v>600505</v>
      </c>
      <c r="P5" s="462"/>
      <c r="Q5" s="462"/>
      <c r="R5" s="462"/>
      <c r="S5" s="462"/>
      <c r="T5" s="462"/>
      <c r="U5" s="462"/>
      <c r="V5" s="462"/>
      <c r="W5" s="463"/>
      <c r="X5" s="327"/>
      <c r="Y5" s="324"/>
      <c r="Z5" s="324"/>
      <c r="AA5" s="324"/>
      <c r="AB5" s="324"/>
      <c r="AC5" s="324"/>
      <c r="AD5" s="324"/>
      <c r="AE5" s="325"/>
      <c r="AF5" s="326"/>
    </row>
    <row r="6" spans="1:103" s="337" customFormat="1" ht="23.25" x14ac:dyDescent="0.35">
      <c r="A6" s="329"/>
      <c r="B6" s="472" t="s">
        <v>76</v>
      </c>
      <c r="C6" s="486">
        <f>C7+C24+C31+C110+C178+C195+C272+C295+C321+C335+C404+C439+C461+C488+C533+C569+C603+C624+C644</f>
        <v>2019537.78</v>
      </c>
      <c r="D6" s="330">
        <f>D7+D24+D31+D110+D178+D195+D272+D295+D321+D335+D404+D439+D461+D488+D533+D569+D603+D624+D644</f>
        <v>2240489.3491666666</v>
      </c>
      <c r="E6" s="500">
        <f>E7+E24+E31+E110+E178+E195+E272+E295+E321+E335+E404+E439+E461+E488+E533+E569+E603+E624+E644</f>
        <v>1925152.3940000003</v>
      </c>
      <c r="F6" s="330">
        <f>F7+F24+F31+F110+F178+F195+F272+F295+F321+F335+F404+F439+F461+F488+F533+F569+F603+F624+F644</f>
        <v>2139057.17</v>
      </c>
      <c r="G6" s="331">
        <f>+D6/F6</f>
        <v>1.0474191062255089</v>
      </c>
      <c r="H6" s="487">
        <f t="shared" ref="H6:H14" si="0">+F6/C6</f>
        <v>1.0591815568808027</v>
      </c>
      <c r="I6" s="333">
        <v>2054436</v>
      </c>
      <c r="J6" s="330">
        <f>+O6+P6+Q6+R6+S6+T6+U6+V6+W6</f>
        <v>2174326.7200000002</v>
      </c>
      <c r="K6" s="333">
        <f>+K7+K24+K31+K110+K178+K195+K272+K295+K321+K335+K404+K439+K461+K488+K533+K569+K603+K624+K644</f>
        <v>1951546.38</v>
      </c>
      <c r="L6" s="333">
        <f>+X6+Y6+Z6+AA6+AB6+AC6+AD6+AE6+AF6</f>
        <v>2139378.15</v>
      </c>
      <c r="M6" s="334">
        <f t="shared" ref="M6:M21" si="1">+J6/L6</f>
        <v>1.0163358544163874</v>
      </c>
      <c r="N6" s="332">
        <f>+L6/I6</f>
        <v>1.0413457270024473</v>
      </c>
      <c r="O6" s="460">
        <f t="shared" ref="O6:AF6" si="2">O7+O24+O31+O110+O178+O195+O272+O295+O321+O335+O404+O439+O461+O488+O533+O569+O603+O624+O644</f>
        <v>596767.07000000007</v>
      </c>
      <c r="P6" s="518">
        <f t="shared" si="2"/>
        <v>643537</v>
      </c>
      <c r="Q6" s="518">
        <f t="shared" si="2"/>
        <v>224452.6</v>
      </c>
      <c r="R6" s="518">
        <f t="shared" si="2"/>
        <v>211680.1</v>
      </c>
      <c r="S6" s="518">
        <f t="shared" si="2"/>
        <v>14919</v>
      </c>
      <c r="T6" s="518">
        <f t="shared" si="2"/>
        <v>101033</v>
      </c>
      <c r="U6" s="518">
        <f t="shared" si="2"/>
        <v>17869</v>
      </c>
      <c r="V6" s="518">
        <f t="shared" si="2"/>
        <v>300522.55000000005</v>
      </c>
      <c r="W6" s="519">
        <f t="shared" si="2"/>
        <v>63546.400000000001</v>
      </c>
      <c r="X6" s="335">
        <f t="shared" si="2"/>
        <v>595620.62</v>
      </c>
      <c r="Y6" s="335">
        <f t="shared" si="2"/>
        <v>590843</v>
      </c>
      <c r="Z6" s="335">
        <f t="shared" si="2"/>
        <v>280376.25</v>
      </c>
      <c r="AA6" s="335">
        <f t="shared" si="2"/>
        <v>187838</v>
      </c>
      <c r="AB6" s="335">
        <f t="shared" si="2"/>
        <v>14919</v>
      </c>
      <c r="AC6" s="335">
        <f t="shared" si="2"/>
        <v>87236</v>
      </c>
      <c r="AD6" s="335">
        <f t="shared" si="2"/>
        <v>17650</v>
      </c>
      <c r="AE6" s="335">
        <f t="shared" si="2"/>
        <v>308824</v>
      </c>
      <c r="AF6" s="336">
        <f t="shared" si="2"/>
        <v>56071.28</v>
      </c>
    </row>
    <row r="7" spans="1:103" s="344" customFormat="1" ht="21" x14ac:dyDescent="0.35">
      <c r="A7" s="338" t="s">
        <v>325</v>
      </c>
      <c r="B7" s="473" t="s">
        <v>523</v>
      </c>
      <c r="C7" s="429">
        <f>C8+C19</f>
        <v>230434.38</v>
      </c>
      <c r="D7" s="339">
        <f>D8+D19</f>
        <v>257300.51</v>
      </c>
      <c r="E7" s="501">
        <f>E8+E19</f>
        <v>245853.45</v>
      </c>
      <c r="F7" s="339">
        <f>F8+F19</f>
        <v>251869.58999999997</v>
      </c>
      <c r="G7" s="340">
        <f t="shared" ref="G7:G75" si="3">+D7/F7</f>
        <v>1.0215624283979658</v>
      </c>
      <c r="H7" s="488">
        <f t="shared" si="0"/>
        <v>1.0930208851647916</v>
      </c>
      <c r="I7" s="288">
        <v>239425</v>
      </c>
      <c r="J7" s="339">
        <f>+O7+P7+Q7+R7+S7+T7+U7+V7+W7</f>
        <v>257300.51</v>
      </c>
      <c r="K7" s="288">
        <v>619631.68999999994</v>
      </c>
      <c r="L7" s="288">
        <f t="shared" ref="L7:L23" si="4">+X7+Y7+Z7+AA7+AB7+AC7+AD7+AE7+AF7</f>
        <v>251869.58999999997</v>
      </c>
      <c r="M7" s="342">
        <f t="shared" si="1"/>
        <v>1.0215624283979658</v>
      </c>
      <c r="N7" s="341">
        <f>+L7/I7</f>
        <v>1.0519769865302286</v>
      </c>
      <c r="O7" s="429">
        <f t="shared" ref="O7:W7" si="5">+O8+O19</f>
        <v>240800.51</v>
      </c>
      <c r="P7" s="339">
        <f t="shared" si="5"/>
        <v>16000</v>
      </c>
      <c r="Q7" s="339">
        <f t="shared" si="5"/>
        <v>0</v>
      </c>
      <c r="R7" s="339">
        <f t="shared" si="5"/>
        <v>0</v>
      </c>
      <c r="S7" s="339">
        <f t="shared" si="5"/>
        <v>0</v>
      </c>
      <c r="T7" s="339">
        <f t="shared" si="5"/>
        <v>500</v>
      </c>
      <c r="U7" s="339">
        <f t="shared" si="5"/>
        <v>0</v>
      </c>
      <c r="V7" s="339">
        <f t="shared" si="5"/>
        <v>0</v>
      </c>
      <c r="W7" s="461">
        <f t="shared" si="5"/>
        <v>0</v>
      </c>
      <c r="X7" s="288">
        <f>+X8+X19</f>
        <v>234369.58999999997</v>
      </c>
      <c r="Y7" s="288">
        <f>+Y8+Y19</f>
        <v>16000</v>
      </c>
      <c r="Z7" s="288"/>
      <c r="AA7" s="288"/>
      <c r="AB7" s="288"/>
      <c r="AC7" s="288">
        <f>+AC8+AC19</f>
        <v>1500</v>
      </c>
      <c r="AD7" s="288">
        <f>+AD8+AD19</f>
        <v>0</v>
      </c>
      <c r="AE7" s="288">
        <f>+AE8+AE19</f>
        <v>0</v>
      </c>
      <c r="AF7" s="289">
        <f>+AF8+AF19</f>
        <v>0</v>
      </c>
      <c r="AG7" s="446"/>
      <c r="AH7" s="343"/>
      <c r="AI7" s="343"/>
      <c r="AJ7" s="343"/>
      <c r="AK7" s="343"/>
      <c r="AL7" s="343"/>
      <c r="AM7" s="343"/>
      <c r="AN7" s="343"/>
      <c r="AO7" s="343"/>
      <c r="AP7" s="343"/>
      <c r="AQ7" s="343"/>
      <c r="AR7" s="343"/>
      <c r="AS7" s="343"/>
      <c r="AT7" s="343"/>
      <c r="AU7" s="343"/>
      <c r="AV7" s="343"/>
      <c r="AW7" s="343"/>
      <c r="AX7" s="343"/>
      <c r="AY7" s="343"/>
      <c r="AZ7" s="343"/>
      <c r="BA7" s="343"/>
      <c r="BB7" s="343"/>
      <c r="BC7" s="343"/>
      <c r="BD7" s="343"/>
      <c r="BE7" s="343"/>
      <c r="BF7" s="343"/>
      <c r="BG7" s="343"/>
      <c r="BH7" s="343"/>
      <c r="BI7" s="343"/>
      <c r="BJ7" s="343"/>
      <c r="BK7" s="343"/>
      <c r="BL7" s="343"/>
      <c r="BM7" s="343"/>
      <c r="BN7" s="343"/>
      <c r="BO7" s="343"/>
      <c r="BP7" s="343"/>
      <c r="BQ7" s="343"/>
      <c r="BR7" s="343"/>
      <c r="BS7" s="343"/>
      <c r="BT7" s="343"/>
      <c r="BU7" s="343"/>
      <c r="BV7" s="343"/>
      <c r="BW7" s="343"/>
      <c r="BX7" s="343"/>
      <c r="BY7" s="343"/>
      <c r="BZ7" s="343"/>
      <c r="CA7" s="343"/>
      <c r="CB7" s="343"/>
      <c r="CC7" s="343"/>
      <c r="CD7" s="343"/>
      <c r="CE7" s="343"/>
      <c r="CF7" s="343"/>
      <c r="CG7" s="343"/>
      <c r="CH7" s="343"/>
      <c r="CI7" s="343"/>
      <c r="CJ7" s="343"/>
      <c r="CK7" s="343"/>
      <c r="CL7" s="343"/>
      <c r="CM7" s="343"/>
      <c r="CN7" s="343"/>
      <c r="CO7" s="343"/>
      <c r="CP7" s="343"/>
      <c r="CQ7" s="343"/>
      <c r="CR7" s="343"/>
      <c r="CS7" s="343"/>
      <c r="CT7" s="343"/>
      <c r="CU7" s="343"/>
      <c r="CV7" s="343"/>
      <c r="CW7" s="343"/>
      <c r="CX7" s="343"/>
      <c r="CY7" s="343"/>
    </row>
    <row r="8" spans="1:103" s="351" customFormat="1" ht="15.75" x14ac:dyDescent="0.25">
      <c r="A8" s="345" t="s">
        <v>326</v>
      </c>
      <c r="B8" s="474" t="s">
        <v>327</v>
      </c>
      <c r="C8" s="430">
        <f>SUM(C9:C18)</f>
        <v>55354.32</v>
      </c>
      <c r="D8" s="455">
        <f>SUM(D9:D18)</f>
        <v>44970</v>
      </c>
      <c r="E8" s="274">
        <f>SUM(E9:E18)</f>
        <v>39053.800000000003</v>
      </c>
      <c r="F8" s="455">
        <f>SUM(F9:F18)</f>
        <v>45070</v>
      </c>
      <c r="G8" s="292">
        <f t="shared" si="3"/>
        <v>0.99778122919902379</v>
      </c>
      <c r="H8" s="489">
        <f t="shared" si="0"/>
        <v>0.81420926135484994</v>
      </c>
      <c r="I8" s="349"/>
      <c r="J8" s="347">
        <f>SUM(J9:J18)</f>
        <v>44970</v>
      </c>
      <c r="K8" s="291"/>
      <c r="L8" s="291">
        <f t="shared" si="4"/>
        <v>45070</v>
      </c>
      <c r="M8" s="348">
        <f t="shared" si="1"/>
        <v>0.99778122919902379</v>
      </c>
      <c r="N8" s="392"/>
      <c r="O8" s="430">
        <f>SUM(O9:O18)</f>
        <v>28470</v>
      </c>
      <c r="P8" s="455">
        <f>SUM(P9:P16)</f>
        <v>16000</v>
      </c>
      <c r="Q8" s="455">
        <f>SUM(Q9:Q16)</f>
        <v>0</v>
      </c>
      <c r="R8" s="455">
        <f>SUM(R9:R16)</f>
        <v>0</v>
      </c>
      <c r="S8" s="455">
        <f>SUM(S9:S16)</f>
        <v>0</v>
      </c>
      <c r="T8" s="455">
        <f>SUM(T9:T18)</f>
        <v>500</v>
      </c>
      <c r="U8" s="455">
        <f>SUM(U9:U16)</f>
        <v>0</v>
      </c>
      <c r="V8" s="455">
        <f>SUM(V9:V16)</f>
        <v>0</v>
      </c>
      <c r="W8" s="350">
        <f>SUM(W9:W16)</f>
        <v>0</v>
      </c>
      <c r="X8" s="349">
        <f>SUM(X9:X18)</f>
        <v>27570</v>
      </c>
      <c r="Y8" s="349">
        <f>SUM(Y9:Y16)</f>
        <v>16000</v>
      </c>
      <c r="Z8" s="349">
        <f>SUM(Z9:Z16)</f>
        <v>0</v>
      </c>
      <c r="AA8" s="455">
        <f>SUM(AA9:AA16)</f>
        <v>0</v>
      </c>
      <c r="AB8" s="455">
        <f>SUM(AB9:AB16)</f>
        <v>0</v>
      </c>
      <c r="AC8" s="455">
        <f>SUM(AC9:AC18)</f>
        <v>1500</v>
      </c>
      <c r="AD8" s="455">
        <f>SUM(AD9:AD16)</f>
        <v>0</v>
      </c>
      <c r="AE8" s="455">
        <f>SUM(AE9:AE16)</f>
        <v>0</v>
      </c>
      <c r="AF8" s="350">
        <f>SUM(AF9:AF16)</f>
        <v>0</v>
      </c>
      <c r="AG8" s="293"/>
      <c r="AH8" s="293"/>
      <c r="AI8" s="293"/>
      <c r="AJ8" s="293"/>
      <c r="AK8" s="293"/>
      <c r="AL8" s="293"/>
      <c r="AM8" s="293"/>
      <c r="AN8" s="293"/>
      <c r="AO8" s="293"/>
      <c r="AP8" s="293"/>
      <c r="AQ8" s="293"/>
      <c r="AR8" s="293"/>
      <c r="AS8" s="293"/>
      <c r="AT8" s="293"/>
      <c r="AU8" s="293"/>
      <c r="AV8" s="293"/>
      <c r="AW8" s="293"/>
      <c r="AX8" s="293"/>
      <c r="AY8" s="293"/>
      <c r="AZ8" s="293"/>
      <c r="BA8" s="293"/>
      <c r="BB8" s="293"/>
      <c r="BC8" s="293"/>
      <c r="BD8" s="293"/>
      <c r="BE8" s="293"/>
      <c r="BF8" s="293"/>
      <c r="BG8" s="293"/>
      <c r="BH8" s="293"/>
      <c r="BI8" s="293"/>
      <c r="BJ8" s="293"/>
      <c r="BK8" s="293"/>
      <c r="BL8" s="293"/>
      <c r="BM8" s="293"/>
      <c r="BN8" s="293"/>
      <c r="BO8" s="293"/>
      <c r="BP8" s="293"/>
      <c r="BQ8" s="293"/>
      <c r="BR8" s="293"/>
      <c r="BS8" s="293"/>
      <c r="BT8" s="293"/>
      <c r="BU8" s="293"/>
      <c r="BV8" s="293"/>
      <c r="BW8" s="293"/>
      <c r="BX8" s="293"/>
      <c r="BY8" s="293"/>
      <c r="BZ8" s="293"/>
      <c r="CA8" s="293"/>
      <c r="CB8" s="293"/>
      <c r="CC8" s="293"/>
      <c r="CD8" s="293"/>
      <c r="CE8" s="293"/>
      <c r="CF8" s="293"/>
      <c r="CG8" s="293"/>
      <c r="CH8" s="293"/>
      <c r="CI8" s="293"/>
      <c r="CJ8" s="293"/>
      <c r="CK8" s="293"/>
      <c r="CL8" s="293"/>
      <c r="CM8" s="293"/>
      <c r="CN8" s="293"/>
      <c r="CO8" s="293"/>
      <c r="CP8" s="293"/>
      <c r="CQ8" s="293"/>
      <c r="CR8" s="293"/>
      <c r="CS8" s="293"/>
      <c r="CT8" s="293"/>
      <c r="CU8" s="293"/>
      <c r="CV8" s="293"/>
      <c r="CW8" s="293"/>
      <c r="CX8" s="293"/>
      <c r="CY8" s="293"/>
    </row>
    <row r="9" spans="1:103" outlineLevel="1" x14ac:dyDescent="0.25">
      <c r="A9" s="352" t="s">
        <v>329</v>
      </c>
      <c r="B9" s="475" t="s">
        <v>525</v>
      </c>
      <c r="C9" s="431">
        <v>16278.99</v>
      </c>
      <c r="D9" s="119">
        <f>+J9</f>
        <v>16540</v>
      </c>
      <c r="E9" s="224">
        <v>16539</v>
      </c>
      <c r="F9" s="119">
        <f t="shared" ref="F9:F18" si="6">+L9</f>
        <v>16540</v>
      </c>
      <c r="G9" s="294">
        <f t="shared" si="3"/>
        <v>1</v>
      </c>
      <c r="H9" s="490">
        <f t="shared" si="0"/>
        <v>1.0160335499929665</v>
      </c>
      <c r="I9" s="290"/>
      <c r="J9" s="119">
        <f>+O9+P9+Q9+R9+S9+T9+U9+V9+W9</f>
        <v>16540</v>
      </c>
      <c r="K9" s="290"/>
      <c r="L9" s="290">
        <f t="shared" si="4"/>
        <v>16540</v>
      </c>
      <c r="M9" s="354">
        <f t="shared" si="1"/>
        <v>1</v>
      </c>
      <c r="N9" s="353"/>
      <c r="O9" s="431">
        <f>+X9</f>
        <v>16540</v>
      </c>
      <c r="P9" s="119"/>
      <c r="Q9" s="119"/>
      <c r="R9" s="119"/>
      <c r="S9" s="119"/>
      <c r="T9" s="119"/>
      <c r="U9" s="119"/>
      <c r="V9" s="119"/>
      <c r="W9" s="356"/>
      <c r="X9" s="290">
        <v>16540</v>
      </c>
      <c r="Y9" s="119"/>
      <c r="Z9" s="119"/>
      <c r="AA9" s="119"/>
      <c r="AB9" s="119"/>
      <c r="AC9" s="119"/>
      <c r="AD9" s="119"/>
      <c r="AE9" s="355"/>
      <c r="AF9" s="356"/>
    </row>
    <row r="10" spans="1:103" outlineLevel="1" x14ac:dyDescent="0.25">
      <c r="A10" s="352" t="s">
        <v>330</v>
      </c>
      <c r="B10" s="475" t="s">
        <v>526</v>
      </c>
      <c r="C10" s="431">
        <v>17303.419999999998</v>
      </c>
      <c r="D10" s="119">
        <f t="shared" ref="D10:D18" si="7">+J10</f>
        <v>16000</v>
      </c>
      <c r="E10" s="224">
        <v>17088.79</v>
      </c>
      <c r="F10" s="119">
        <f t="shared" si="6"/>
        <v>16000</v>
      </c>
      <c r="G10" s="294">
        <f t="shared" si="3"/>
        <v>1</v>
      </c>
      <c r="H10" s="490">
        <f t="shared" si="0"/>
        <v>0.92467269476207603</v>
      </c>
      <c r="I10" s="290"/>
      <c r="J10" s="119">
        <f t="shared" ref="J10:J24" si="8">+O10+P10+Q10+R10+S10+T10+U10+V10+W10</f>
        <v>16000</v>
      </c>
      <c r="K10" s="290"/>
      <c r="L10" s="290">
        <f t="shared" si="4"/>
        <v>16000</v>
      </c>
      <c r="M10" s="354">
        <f t="shared" si="1"/>
        <v>1</v>
      </c>
      <c r="N10" s="353"/>
      <c r="O10" s="431"/>
      <c r="P10" s="119">
        <v>16000</v>
      </c>
      <c r="Q10" s="119"/>
      <c r="R10" s="119"/>
      <c r="S10" s="119"/>
      <c r="T10" s="119"/>
      <c r="U10" s="119"/>
      <c r="V10" s="119"/>
      <c r="W10" s="356"/>
      <c r="X10" s="290"/>
      <c r="Y10" s="119">
        <v>16000</v>
      </c>
      <c r="Z10" s="119"/>
      <c r="AA10" s="119"/>
      <c r="AB10" s="119"/>
      <c r="AC10" s="119"/>
      <c r="AD10" s="119"/>
      <c r="AE10" s="355"/>
      <c r="AF10" s="356"/>
    </row>
    <row r="11" spans="1:103" outlineLevel="1" x14ac:dyDescent="0.25">
      <c r="A11" s="352" t="s">
        <v>702</v>
      </c>
      <c r="B11" s="475" t="s">
        <v>524</v>
      </c>
      <c r="C11" s="431">
        <v>9429.83</v>
      </c>
      <c r="D11" s="119">
        <f t="shared" si="7"/>
        <v>2500</v>
      </c>
      <c r="E11" s="224">
        <v>2299.87</v>
      </c>
      <c r="F11" s="119">
        <f t="shared" si="6"/>
        <v>3000</v>
      </c>
      <c r="G11" s="294">
        <f t="shared" si="3"/>
        <v>0.83333333333333337</v>
      </c>
      <c r="H11" s="490">
        <f t="shared" si="0"/>
        <v>0.31813935139869964</v>
      </c>
      <c r="I11" s="290"/>
      <c r="J11" s="119">
        <f t="shared" si="8"/>
        <v>2500</v>
      </c>
      <c r="K11" s="290"/>
      <c r="L11" s="290">
        <f t="shared" si="4"/>
        <v>3000</v>
      </c>
      <c r="M11" s="354">
        <f t="shared" si="1"/>
        <v>0.83333333333333337</v>
      </c>
      <c r="N11" s="353"/>
      <c r="O11" s="431">
        <f t="shared" ref="O11:O18" si="9">+X11</f>
        <v>2000</v>
      </c>
      <c r="P11" s="119"/>
      <c r="Q11" s="119"/>
      <c r="R11" s="119"/>
      <c r="S11" s="119"/>
      <c r="T11" s="119">
        <v>500</v>
      </c>
      <c r="U11" s="119"/>
      <c r="V11" s="119"/>
      <c r="W11" s="356"/>
      <c r="X11" s="290">
        <v>2000</v>
      </c>
      <c r="Y11" s="119"/>
      <c r="Z11" s="119"/>
      <c r="AA11" s="119"/>
      <c r="AB11" s="119"/>
      <c r="AC11" s="119">
        <v>1000</v>
      </c>
      <c r="AD11" s="119"/>
      <c r="AE11" s="355"/>
      <c r="AF11" s="356"/>
    </row>
    <row r="12" spans="1:103" outlineLevel="1" x14ac:dyDescent="0.25">
      <c r="A12" s="352" t="s">
        <v>703</v>
      </c>
      <c r="B12" s="475" t="s">
        <v>527</v>
      </c>
      <c r="C12" s="431">
        <v>540</v>
      </c>
      <c r="D12" s="119">
        <f t="shared" si="7"/>
        <v>6000</v>
      </c>
      <c r="E12" s="224"/>
      <c r="F12" s="119">
        <f t="shared" si="6"/>
        <v>6000</v>
      </c>
      <c r="G12" s="294">
        <f t="shared" si="3"/>
        <v>1</v>
      </c>
      <c r="H12" s="490">
        <f t="shared" si="0"/>
        <v>11.111111111111111</v>
      </c>
      <c r="I12" s="290"/>
      <c r="J12" s="119">
        <f t="shared" si="8"/>
        <v>6000</v>
      </c>
      <c r="K12" s="290"/>
      <c r="L12" s="290">
        <f t="shared" si="4"/>
        <v>6000</v>
      </c>
      <c r="M12" s="354">
        <f t="shared" si="1"/>
        <v>1</v>
      </c>
      <c r="N12" s="353"/>
      <c r="O12" s="431">
        <f t="shared" si="9"/>
        <v>6000</v>
      </c>
      <c r="P12" s="119"/>
      <c r="Q12" s="119"/>
      <c r="R12" s="119"/>
      <c r="S12" s="119"/>
      <c r="T12" s="119"/>
      <c r="U12" s="119"/>
      <c r="V12" s="119"/>
      <c r="W12" s="356"/>
      <c r="X12" s="290">
        <v>6000</v>
      </c>
      <c r="Y12" s="119"/>
      <c r="Z12" s="119"/>
      <c r="AA12" s="119"/>
      <c r="AB12" s="119"/>
      <c r="AC12" s="119"/>
      <c r="AD12" s="119"/>
      <c r="AE12" s="355"/>
      <c r="AF12" s="356"/>
    </row>
    <row r="13" spans="1:103" outlineLevel="1" x14ac:dyDescent="0.25">
      <c r="A13" s="352" t="s">
        <v>704</v>
      </c>
      <c r="B13" s="475" t="s">
        <v>528</v>
      </c>
      <c r="C13" s="431">
        <v>810.92</v>
      </c>
      <c r="D13" s="119">
        <f t="shared" si="7"/>
        <v>1800</v>
      </c>
      <c r="E13" s="224">
        <v>1838.05</v>
      </c>
      <c r="F13" s="119">
        <f t="shared" si="6"/>
        <v>900</v>
      </c>
      <c r="G13" s="294">
        <f t="shared" si="3"/>
        <v>2</v>
      </c>
      <c r="H13" s="490">
        <f t="shared" si="0"/>
        <v>1.1098505401272629</v>
      </c>
      <c r="I13" s="290"/>
      <c r="J13" s="119">
        <f t="shared" si="8"/>
        <v>1800</v>
      </c>
      <c r="K13" s="290"/>
      <c r="L13" s="290">
        <f t="shared" si="4"/>
        <v>900</v>
      </c>
      <c r="M13" s="354">
        <f t="shared" si="1"/>
        <v>2</v>
      </c>
      <c r="N13" s="353"/>
      <c r="O13" s="431">
        <v>1800</v>
      </c>
      <c r="P13" s="119"/>
      <c r="Q13" s="119"/>
      <c r="R13" s="119"/>
      <c r="S13" s="119"/>
      <c r="T13" s="119"/>
      <c r="U13" s="119"/>
      <c r="V13" s="119"/>
      <c r="W13" s="356"/>
      <c r="X13" s="290">
        <v>900</v>
      </c>
      <c r="Y13" s="119"/>
      <c r="Z13" s="119"/>
      <c r="AA13" s="119"/>
      <c r="AB13" s="119"/>
      <c r="AC13" s="119"/>
      <c r="AD13" s="119"/>
      <c r="AE13" s="355"/>
      <c r="AF13" s="356"/>
    </row>
    <row r="14" spans="1:103" outlineLevel="1" x14ac:dyDescent="0.25">
      <c r="A14" s="352" t="s">
        <v>705</v>
      </c>
      <c r="B14" s="475" t="s">
        <v>529</v>
      </c>
      <c r="C14" s="431">
        <v>1053.21</v>
      </c>
      <c r="D14" s="119">
        <f t="shared" si="7"/>
        <v>1500</v>
      </c>
      <c r="E14" s="224">
        <v>1130.21</v>
      </c>
      <c r="F14" s="119">
        <f t="shared" si="6"/>
        <v>1500</v>
      </c>
      <c r="G14" s="294">
        <f t="shared" si="3"/>
        <v>1</v>
      </c>
      <c r="H14" s="490">
        <f t="shared" si="0"/>
        <v>1.4242173925427977</v>
      </c>
      <c r="I14" s="290"/>
      <c r="J14" s="119">
        <f t="shared" si="8"/>
        <v>1500</v>
      </c>
      <c r="K14" s="290"/>
      <c r="L14" s="290">
        <f t="shared" si="4"/>
        <v>1500</v>
      </c>
      <c r="M14" s="354">
        <f t="shared" si="1"/>
        <v>1</v>
      </c>
      <c r="N14" s="353"/>
      <c r="O14" s="431">
        <f t="shared" si="9"/>
        <v>1500</v>
      </c>
      <c r="P14" s="119"/>
      <c r="Q14" s="119"/>
      <c r="R14" s="119"/>
      <c r="S14" s="119"/>
      <c r="T14" s="119"/>
      <c r="U14" s="119"/>
      <c r="V14" s="119"/>
      <c r="W14" s="356"/>
      <c r="X14" s="290">
        <v>1500</v>
      </c>
      <c r="Y14" s="119"/>
      <c r="Z14" s="119"/>
      <c r="AA14" s="119"/>
      <c r="AB14" s="119"/>
      <c r="AC14" s="119"/>
      <c r="AD14" s="119"/>
      <c r="AE14" s="355"/>
      <c r="AF14" s="356"/>
    </row>
    <row r="15" spans="1:103" outlineLevel="1" x14ac:dyDescent="0.25">
      <c r="A15" s="352" t="s">
        <v>706</v>
      </c>
      <c r="B15" s="475" t="s">
        <v>530</v>
      </c>
      <c r="C15" s="431">
        <v>0</v>
      </c>
      <c r="D15" s="525">
        <f t="shared" si="7"/>
        <v>50</v>
      </c>
      <c r="E15" s="224"/>
      <c r="F15" s="119">
        <f t="shared" si="6"/>
        <v>50</v>
      </c>
      <c r="G15" s="294">
        <f t="shared" si="3"/>
        <v>1</v>
      </c>
      <c r="H15" s="490"/>
      <c r="I15" s="290"/>
      <c r="J15" s="119">
        <f t="shared" si="8"/>
        <v>50</v>
      </c>
      <c r="K15" s="290"/>
      <c r="L15" s="290">
        <f t="shared" si="4"/>
        <v>50</v>
      </c>
      <c r="M15" s="354">
        <f t="shared" si="1"/>
        <v>1</v>
      </c>
      <c r="N15" s="353"/>
      <c r="O15" s="524">
        <f t="shared" si="9"/>
        <v>50</v>
      </c>
      <c r="P15" s="119"/>
      <c r="Q15" s="119"/>
      <c r="R15" s="119"/>
      <c r="S15" s="119"/>
      <c r="T15" s="119"/>
      <c r="U15" s="119"/>
      <c r="V15" s="119"/>
      <c r="W15" s="356"/>
      <c r="X15" s="290">
        <v>50</v>
      </c>
      <c r="Y15" s="119"/>
      <c r="Z15" s="119"/>
      <c r="AA15" s="119"/>
      <c r="AB15" s="119"/>
      <c r="AC15" s="119"/>
      <c r="AD15" s="119"/>
      <c r="AE15" s="355"/>
      <c r="AF15" s="356"/>
    </row>
    <row r="16" spans="1:103" outlineLevel="1" x14ac:dyDescent="0.25">
      <c r="A16" s="352" t="s">
        <v>707</v>
      </c>
      <c r="B16" s="475" t="s">
        <v>531</v>
      </c>
      <c r="C16" s="431">
        <v>0</v>
      </c>
      <c r="D16" s="525">
        <f t="shared" si="7"/>
        <v>300</v>
      </c>
      <c r="E16" s="224"/>
      <c r="F16" s="119">
        <f t="shared" si="6"/>
        <v>300</v>
      </c>
      <c r="G16" s="294">
        <f t="shared" si="3"/>
        <v>1</v>
      </c>
      <c r="H16" s="490"/>
      <c r="I16" s="290"/>
      <c r="J16" s="119">
        <f t="shared" si="8"/>
        <v>300</v>
      </c>
      <c r="K16" s="290"/>
      <c r="L16" s="290">
        <f t="shared" si="4"/>
        <v>300</v>
      </c>
      <c r="M16" s="354">
        <f t="shared" si="1"/>
        <v>1</v>
      </c>
      <c r="N16" s="353"/>
      <c r="O16" s="524">
        <f t="shared" si="9"/>
        <v>300</v>
      </c>
      <c r="P16" s="119"/>
      <c r="Q16" s="119"/>
      <c r="R16" s="119"/>
      <c r="S16" s="119"/>
      <c r="T16" s="119"/>
      <c r="U16" s="119"/>
      <c r="V16" s="119"/>
      <c r="W16" s="356"/>
      <c r="X16" s="290">
        <v>300</v>
      </c>
      <c r="Y16" s="119"/>
      <c r="Z16" s="119"/>
      <c r="AA16" s="119"/>
      <c r="AB16" s="119"/>
      <c r="AC16" s="119"/>
      <c r="AD16" s="119"/>
      <c r="AE16" s="355"/>
      <c r="AF16" s="356"/>
    </row>
    <row r="17" spans="1:103" outlineLevel="1" x14ac:dyDescent="0.25">
      <c r="A17" s="352" t="s">
        <v>708</v>
      </c>
      <c r="B17" s="475" t="s">
        <v>882</v>
      </c>
      <c r="C17" s="431">
        <v>5508.65</v>
      </c>
      <c r="D17" s="119">
        <f t="shared" si="7"/>
        <v>0</v>
      </c>
      <c r="E17" s="224"/>
      <c r="F17" s="119">
        <f t="shared" si="6"/>
        <v>500</v>
      </c>
      <c r="G17" s="294">
        <f t="shared" si="3"/>
        <v>0</v>
      </c>
      <c r="H17" s="490">
        <f t="shared" ref="H17:H22" si="10">+F17/C17</f>
        <v>9.0766340210396382E-2</v>
      </c>
      <c r="I17" s="290"/>
      <c r="J17" s="119">
        <f t="shared" si="8"/>
        <v>0</v>
      </c>
      <c r="K17" s="290"/>
      <c r="L17" s="290">
        <f t="shared" si="4"/>
        <v>500</v>
      </c>
      <c r="M17" s="354">
        <f t="shared" si="1"/>
        <v>0</v>
      </c>
      <c r="N17" s="353"/>
      <c r="O17" s="431"/>
      <c r="P17" s="119"/>
      <c r="Q17" s="119"/>
      <c r="R17" s="119"/>
      <c r="S17" s="119"/>
      <c r="T17" s="119"/>
      <c r="U17" s="119"/>
      <c r="V17" s="119"/>
      <c r="W17" s="356"/>
      <c r="X17" s="290"/>
      <c r="Y17" s="119"/>
      <c r="Z17" s="119"/>
      <c r="AA17" s="119"/>
      <c r="AB17" s="119"/>
      <c r="AC17" s="119">
        <v>500</v>
      </c>
      <c r="AD17" s="119"/>
      <c r="AE17" s="355"/>
      <c r="AF17" s="356"/>
    </row>
    <row r="18" spans="1:103" outlineLevel="1" x14ac:dyDescent="0.25">
      <c r="A18" s="352" t="s">
        <v>1025</v>
      </c>
      <c r="B18" s="475" t="s">
        <v>47</v>
      </c>
      <c r="C18" s="431">
        <f>4429.3</f>
        <v>4429.3</v>
      </c>
      <c r="D18" s="119">
        <f t="shared" si="7"/>
        <v>280</v>
      </c>
      <c r="E18" s="224">
        <v>157.88</v>
      </c>
      <c r="F18" s="119">
        <f t="shared" si="6"/>
        <v>280</v>
      </c>
      <c r="G18" s="294">
        <f t="shared" si="3"/>
        <v>1</v>
      </c>
      <c r="H18" s="490">
        <f t="shared" si="10"/>
        <v>6.3215406497640708E-2</v>
      </c>
      <c r="I18" s="290"/>
      <c r="J18" s="119">
        <f t="shared" si="8"/>
        <v>280</v>
      </c>
      <c r="K18" s="290"/>
      <c r="L18" s="290">
        <f t="shared" si="4"/>
        <v>280</v>
      </c>
      <c r="M18" s="354">
        <f t="shared" si="1"/>
        <v>1</v>
      </c>
      <c r="N18" s="353"/>
      <c r="O18" s="431">
        <f t="shared" si="9"/>
        <v>280</v>
      </c>
      <c r="P18" s="119"/>
      <c r="Q18" s="119"/>
      <c r="R18" s="119"/>
      <c r="S18" s="119"/>
      <c r="T18" s="119"/>
      <c r="U18" s="119"/>
      <c r="V18" s="119"/>
      <c r="W18" s="356"/>
      <c r="X18" s="290">
        <v>280</v>
      </c>
      <c r="Y18" s="119"/>
      <c r="Z18" s="119"/>
      <c r="AA18" s="119"/>
      <c r="AB18" s="119"/>
      <c r="AC18" s="119"/>
      <c r="AD18" s="119"/>
      <c r="AE18" s="355"/>
      <c r="AF18" s="356"/>
    </row>
    <row r="19" spans="1:103" s="351" customFormat="1" ht="15.75" x14ac:dyDescent="0.25">
      <c r="A19" s="345" t="s">
        <v>331</v>
      </c>
      <c r="B19" s="474" t="s">
        <v>328</v>
      </c>
      <c r="C19" s="430">
        <f>+C20+C21+C22+C23</f>
        <v>175080.06</v>
      </c>
      <c r="D19" s="455">
        <f>+D20+D21+D22+D23</f>
        <v>212330.51</v>
      </c>
      <c r="E19" s="274">
        <f>+E20+E21+E22+E23</f>
        <v>206799.65</v>
      </c>
      <c r="F19" s="455">
        <f>+F20+F21+F22+F23</f>
        <v>206799.58999999997</v>
      </c>
      <c r="G19" s="292">
        <f t="shared" si="3"/>
        <v>1.0267453141468996</v>
      </c>
      <c r="H19" s="489">
        <f t="shared" si="10"/>
        <v>1.181171573736038</v>
      </c>
      <c r="I19" s="349"/>
      <c r="J19" s="347">
        <f>SUM(J20:J23)</f>
        <v>212330.51</v>
      </c>
      <c r="K19" s="291"/>
      <c r="L19" s="291">
        <f t="shared" si="4"/>
        <v>206799.58999999997</v>
      </c>
      <c r="M19" s="348">
        <f t="shared" si="1"/>
        <v>1.0267453141468996</v>
      </c>
      <c r="N19" s="392"/>
      <c r="O19" s="430">
        <f t="shared" ref="O19:W19" si="11">SUM(O20:O23)</f>
        <v>212330.51</v>
      </c>
      <c r="P19" s="455">
        <f t="shared" si="11"/>
        <v>0</v>
      </c>
      <c r="Q19" s="455">
        <f t="shared" si="11"/>
        <v>0</v>
      </c>
      <c r="R19" s="455">
        <f t="shared" si="11"/>
        <v>0</v>
      </c>
      <c r="S19" s="455">
        <f t="shared" si="11"/>
        <v>0</v>
      </c>
      <c r="T19" s="455">
        <f t="shared" si="11"/>
        <v>0</v>
      </c>
      <c r="U19" s="455">
        <f t="shared" si="11"/>
        <v>0</v>
      </c>
      <c r="V19" s="455">
        <f t="shared" si="11"/>
        <v>0</v>
      </c>
      <c r="W19" s="350">
        <f t="shared" si="11"/>
        <v>0</v>
      </c>
      <c r="X19" s="349">
        <f t="shared" ref="X19:AF19" si="12">SUM(X20:X23)</f>
        <v>206799.58999999997</v>
      </c>
      <c r="Y19" s="455">
        <f t="shared" si="12"/>
        <v>0</v>
      </c>
      <c r="Z19" s="455">
        <f t="shared" si="12"/>
        <v>0</v>
      </c>
      <c r="AA19" s="455">
        <f t="shared" si="12"/>
        <v>0</v>
      </c>
      <c r="AB19" s="455">
        <f t="shared" si="12"/>
        <v>0</v>
      </c>
      <c r="AC19" s="455">
        <f t="shared" si="12"/>
        <v>0</v>
      </c>
      <c r="AD19" s="455">
        <f t="shared" si="12"/>
        <v>0</v>
      </c>
      <c r="AE19" s="455">
        <f t="shared" si="12"/>
        <v>0</v>
      </c>
      <c r="AF19" s="350">
        <f t="shared" si="12"/>
        <v>0</v>
      </c>
      <c r="AG19" s="293"/>
      <c r="AH19" s="293"/>
      <c r="AI19" s="293"/>
      <c r="AJ19" s="293"/>
      <c r="AK19" s="293"/>
      <c r="AL19" s="293"/>
      <c r="AM19" s="293"/>
      <c r="AN19" s="293"/>
      <c r="AO19" s="293"/>
      <c r="AP19" s="293"/>
      <c r="AQ19" s="293"/>
      <c r="AR19" s="293"/>
      <c r="AS19" s="293"/>
      <c r="AT19" s="293"/>
      <c r="AU19" s="293"/>
      <c r="AV19" s="293"/>
      <c r="AW19" s="293"/>
      <c r="AX19" s="293"/>
      <c r="AY19" s="293"/>
      <c r="AZ19" s="293"/>
      <c r="BA19" s="293"/>
      <c r="BB19" s="293"/>
      <c r="BC19" s="293"/>
      <c r="BD19" s="293"/>
      <c r="BE19" s="293"/>
      <c r="BF19" s="293"/>
      <c r="BG19" s="293"/>
      <c r="BH19" s="293"/>
      <c r="BI19" s="293"/>
      <c r="BJ19" s="293"/>
      <c r="BK19" s="293"/>
      <c r="BL19" s="293"/>
      <c r="BM19" s="293"/>
      <c r="BN19" s="293"/>
      <c r="BO19" s="293"/>
      <c r="BP19" s="293"/>
      <c r="BQ19" s="293"/>
      <c r="BR19" s="293"/>
      <c r="BS19" s="293"/>
      <c r="BT19" s="293"/>
      <c r="BU19" s="293"/>
      <c r="BV19" s="293"/>
      <c r="BW19" s="293"/>
      <c r="BX19" s="293"/>
      <c r="BY19" s="293"/>
      <c r="BZ19" s="293"/>
      <c r="CA19" s="293"/>
      <c r="CB19" s="293"/>
      <c r="CC19" s="293"/>
      <c r="CD19" s="293"/>
      <c r="CE19" s="293"/>
      <c r="CF19" s="293"/>
      <c r="CG19" s="293"/>
      <c r="CH19" s="293"/>
      <c r="CI19" s="293"/>
      <c r="CJ19" s="293"/>
      <c r="CK19" s="293"/>
      <c r="CL19" s="293"/>
      <c r="CM19" s="293"/>
      <c r="CN19" s="293"/>
      <c r="CO19" s="293"/>
      <c r="CP19" s="293"/>
      <c r="CQ19" s="293"/>
      <c r="CR19" s="293"/>
      <c r="CS19" s="293"/>
      <c r="CT19" s="293"/>
      <c r="CU19" s="293"/>
      <c r="CV19" s="293"/>
      <c r="CW19" s="293"/>
      <c r="CX19" s="293"/>
      <c r="CY19" s="293"/>
    </row>
    <row r="20" spans="1:103" ht="14.45" customHeight="1" outlineLevel="1" x14ac:dyDescent="0.25">
      <c r="A20" s="352" t="s">
        <v>332</v>
      </c>
      <c r="B20" s="475" t="s">
        <v>532</v>
      </c>
      <c r="C20" s="431">
        <v>35685.629999999997</v>
      </c>
      <c r="D20" s="119">
        <f>+J20</f>
        <v>49227.62</v>
      </c>
      <c r="E20" s="224">
        <v>47839.71</v>
      </c>
      <c r="F20" s="119">
        <v>49035.11</v>
      </c>
      <c r="G20" s="294">
        <f t="shared" si="3"/>
        <v>1.0039259624379349</v>
      </c>
      <c r="H20" s="490">
        <f t="shared" si="10"/>
        <v>1.3740855913150476</v>
      </c>
      <c r="I20" s="290"/>
      <c r="J20" s="119">
        <f t="shared" si="8"/>
        <v>49227.62</v>
      </c>
      <c r="K20" s="290"/>
      <c r="L20" s="290">
        <f t="shared" si="4"/>
        <v>49035.11</v>
      </c>
      <c r="M20" s="354">
        <f t="shared" si="1"/>
        <v>1.0039259624379349</v>
      </c>
      <c r="N20" s="353"/>
      <c r="O20" s="431">
        <v>49227.62</v>
      </c>
      <c r="P20" s="119"/>
      <c r="Q20" s="119"/>
      <c r="R20" s="119"/>
      <c r="S20" s="119"/>
      <c r="T20" s="119"/>
      <c r="U20" s="119"/>
      <c r="V20" s="119"/>
      <c r="W20" s="356"/>
      <c r="X20" s="290">
        <f>+F20</f>
        <v>49035.11</v>
      </c>
      <c r="Y20" s="119"/>
      <c r="Z20" s="119"/>
      <c r="AA20" s="119"/>
      <c r="AB20" s="119"/>
      <c r="AC20" s="119"/>
      <c r="AD20" s="119"/>
      <c r="AE20" s="355"/>
      <c r="AF20" s="356"/>
    </row>
    <row r="21" spans="1:103" ht="14.45" customHeight="1" outlineLevel="1" x14ac:dyDescent="0.25">
      <c r="A21" s="352" t="s">
        <v>333</v>
      </c>
      <c r="B21" s="475" t="s">
        <v>1165</v>
      </c>
      <c r="C21" s="431">
        <v>136411.31</v>
      </c>
      <c r="D21" s="119">
        <f>+J21</f>
        <v>163102.89000000001</v>
      </c>
      <c r="E21" s="224">
        <v>158959.94</v>
      </c>
      <c r="F21" s="119">
        <f>77411.95+80352.53</f>
        <v>157764.47999999998</v>
      </c>
      <c r="G21" s="294">
        <f t="shared" si="3"/>
        <v>1.0338378448685028</v>
      </c>
      <c r="H21" s="490">
        <f t="shared" si="10"/>
        <v>1.1565351875881844</v>
      </c>
      <c r="I21" s="290"/>
      <c r="J21" s="119">
        <f t="shared" si="8"/>
        <v>163102.89000000001</v>
      </c>
      <c r="K21" s="290"/>
      <c r="L21" s="290">
        <f t="shared" si="4"/>
        <v>157764.47999999998</v>
      </c>
      <c r="M21" s="354">
        <f t="shared" si="1"/>
        <v>1.0338378448685028</v>
      </c>
      <c r="N21" s="353"/>
      <c r="O21" s="431">
        <v>163102.89000000001</v>
      </c>
      <c r="P21" s="119"/>
      <c r="Q21" s="119"/>
      <c r="R21" s="119"/>
      <c r="S21" s="119"/>
      <c r="T21" s="119"/>
      <c r="U21" s="119"/>
      <c r="V21" s="119"/>
      <c r="W21" s="356"/>
      <c r="X21" s="290">
        <f>+F21</f>
        <v>157764.47999999998</v>
      </c>
      <c r="Y21" s="119"/>
      <c r="Z21" s="119"/>
      <c r="AA21" s="119"/>
      <c r="AB21" s="119"/>
      <c r="AC21" s="119"/>
      <c r="AD21" s="119"/>
      <c r="AE21" s="355"/>
      <c r="AF21" s="356"/>
    </row>
    <row r="22" spans="1:103" ht="14.45" customHeight="1" outlineLevel="1" x14ac:dyDescent="0.25">
      <c r="A22" s="352" t="s">
        <v>334</v>
      </c>
      <c r="B22" s="475" t="s">
        <v>534</v>
      </c>
      <c r="C22" s="431">
        <v>2983.12</v>
      </c>
      <c r="D22" s="119">
        <f>+J22</f>
        <v>0</v>
      </c>
      <c r="E22" s="224"/>
      <c r="F22" s="119">
        <f>+L22</f>
        <v>0</v>
      </c>
      <c r="G22" s="294"/>
      <c r="H22" s="490">
        <f t="shared" si="10"/>
        <v>0</v>
      </c>
      <c r="I22" s="290"/>
      <c r="J22" s="119">
        <f t="shared" si="8"/>
        <v>0</v>
      </c>
      <c r="K22" s="290"/>
      <c r="L22" s="290">
        <f t="shared" si="4"/>
        <v>0</v>
      </c>
      <c r="M22" s="354"/>
      <c r="N22" s="353"/>
      <c r="O22" s="431"/>
      <c r="P22" s="119"/>
      <c r="Q22" s="119"/>
      <c r="R22" s="119"/>
      <c r="S22" s="119"/>
      <c r="T22" s="119"/>
      <c r="U22" s="119"/>
      <c r="V22" s="119"/>
      <c r="W22" s="356"/>
      <c r="X22" s="290"/>
      <c r="Y22" s="119"/>
      <c r="Z22" s="119"/>
      <c r="AA22" s="119"/>
      <c r="AB22" s="119"/>
      <c r="AC22" s="119"/>
      <c r="AD22" s="119"/>
      <c r="AE22" s="355"/>
      <c r="AF22" s="356"/>
    </row>
    <row r="23" spans="1:103" outlineLevel="1" x14ac:dyDescent="0.25">
      <c r="A23" s="352" t="s">
        <v>1026</v>
      </c>
      <c r="B23" s="475" t="s">
        <v>47</v>
      </c>
      <c r="C23" s="431"/>
      <c r="D23" s="119"/>
      <c r="E23" s="224"/>
      <c r="F23" s="119"/>
      <c r="G23" s="294"/>
      <c r="H23" s="490"/>
      <c r="I23" s="290"/>
      <c r="J23" s="119">
        <f t="shared" si="8"/>
        <v>0</v>
      </c>
      <c r="K23" s="290"/>
      <c r="L23" s="290">
        <f t="shared" si="4"/>
        <v>0</v>
      </c>
      <c r="M23" s="354"/>
      <c r="N23" s="353"/>
      <c r="O23" s="431"/>
      <c r="P23" s="119"/>
      <c r="Q23" s="119"/>
      <c r="R23" s="119"/>
      <c r="S23" s="119"/>
      <c r="T23" s="119"/>
      <c r="U23" s="119"/>
      <c r="V23" s="119"/>
      <c r="W23" s="356"/>
      <c r="X23" s="290"/>
      <c r="Y23" s="119"/>
      <c r="Z23" s="119"/>
      <c r="AA23" s="119"/>
      <c r="AB23" s="119"/>
      <c r="AC23" s="119"/>
      <c r="AD23" s="119"/>
      <c r="AE23" s="355"/>
      <c r="AF23" s="356"/>
    </row>
    <row r="24" spans="1:103" s="344" customFormat="1" ht="21" x14ac:dyDescent="0.35">
      <c r="A24" s="338" t="s">
        <v>61</v>
      </c>
      <c r="B24" s="473" t="s">
        <v>1345</v>
      </c>
      <c r="C24" s="429"/>
      <c r="D24" s="339">
        <f>+D25+D28+D30</f>
        <v>82619</v>
      </c>
      <c r="E24" s="501"/>
      <c r="F24" s="339"/>
      <c r="G24" s="340"/>
      <c r="H24" s="488"/>
      <c r="I24" s="288"/>
      <c r="J24" s="339">
        <f t="shared" si="8"/>
        <v>82619</v>
      </c>
      <c r="K24" s="288"/>
      <c r="L24" s="288"/>
      <c r="M24" s="342"/>
      <c r="N24" s="341"/>
      <c r="O24" s="429">
        <f t="shared" ref="O24:W24" si="13">+O25+O28+O30</f>
        <v>33500</v>
      </c>
      <c r="P24" s="339">
        <f t="shared" si="13"/>
        <v>7300</v>
      </c>
      <c r="Q24" s="339">
        <f t="shared" si="13"/>
        <v>19200</v>
      </c>
      <c r="R24" s="339">
        <f t="shared" si="13"/>
        <v>0</v>
      </c>
      <c r="S24" s="339">
        <f t="shared" si="13"/>
        <v>0</v>
      </c>
      <c r="T24" s="339">
        <f t="shared" si="13"/>
        <v>0</v>
      </c>
      <c r="U24" s="339">
        <f t="shared" si="13"/>
        <v>10019</v>
      </c>
      <c r="V24" s="339">
        <f t="shared" si="13"/>
        <v>10000</v>
      </c>
      <c r="W24" s="461">
        <f t="shared" si="13"/>
        <v>2600</v>
      </c>
      <c r="X24" s="288"/>
      <c r="Y24" s="288"/>
      <c r="Z24" s="288"/>
      <c r="AA24" s="288"/>
      <c r="AB24" s="288"/>
      <c r="AC24" s="288"/>
      <c r="AD24" s="288"/>
      <c r="AE24" s="288"/>
      <c r="AF24" s="289"/>
      <c r="AG24" s="343"/>
      <c r="AH24" s="343"/>
      <c r="AI24" s="343"/>
      <c r="AJ24" s="343"/>
      <c r="AK24" s="343"/>
      <c r="AL24" s="343"/>
      <c r="AM24" s="343"/>
      <c r="AN24" s="343"/>
      <c r="AO24" s="343"/>
      <c r="AP24" s="343"/>
      <c r="AQ24" s="343"/>
      <c r="AR24" s="343"/>
      <c r="AS24" s="343"/>
      <c r="AT24" s="343"/>
      <c r="AU24" s="343"/>
      <c r="AV24" s="343"/>
      <c r="AW24" s="343"/>
      <c r="AX24" s="343"/>
      <c r="AY24" s="343"/>
      <c r="AZ24" s="343"/>
      <c r="BA24" s="343"/>
      <c r="BB24" s="343"/>
      <c r="BC24" s="343"/>
      <c r="BD24" s="343"/>
      <c r="BE24" s="343"/>
      <c r="BF24" s="343"/>
      <c r="BG24" s="343"/>
      <c r="BH24" s="343"/>
      <c r="BI24" s="343"/>
      <c r="BJ24" s="343"/>
      <c r="BK24" s="343"/>
      <c r="BL24" s="343"/>
      <c r="BM24" s="343"/>
      <c r="BN24" s="343"/>
      <c r="BO24" s="343"/>
      <c r="BP24" s="343"/>
      <c r="BQ24" s="343"/>
      <c r="BR24" s="343"/>
      <c r="BS24" s="343"/>
      <c r="BT24" s="343"/>
      <c r="BU24" s="343"/>
      <c r="BV24" s="343"/>
      <c r="BW24" s="343"/>
      <c r="BX24" s="343"/>
      <c r="BY24" s="343"/>
      <c r="BZ24" s="343"/>
      <c r="CA24" s="343"/>
      <c r="CB24" s="343"/>
      <c r="CC24" s="343"/>
      <c r="CD24" s="343"/>
      <c r="CE24" s="343"/>
      <c r="CF24" s="343"/>
      <c r="CG24" s="343"/>
      <c r="CH24" s="343"/>
      <c r="CI24" s="343"/>
      <c r="CJ24" s="343"/>
      <c r="CK24" s="343"/>
      <c r="CL24" s="343"/>
      <c r="CM24" s="343"/>
      <c r="CN24" s="343"/>
      <c r="CO24" s="343"/>
      <c r="CP24" s="343"/>
      <c r="CQ24" s="343"/>
      <c r="CR24" s="343"/>
      <c r="CS24" s="343"/>
      <c r="CT24" s="343"/>
      <c r="CU24" s="343"/>
      <c r="CV24" s="343"/>
      <c r="CW24" s="343"/>
      <c r="CX24" s="343"/>
      <c r="CY24" s="343"/>
    </row>
    <row r="25" spans="1:103" s="447" customFormat="1" ht="15.75" customHeight="1" x14ac:dyDescent="0.25">
      <c r="A25" s="448" t="s">
        <v>62</v>
      </c>
      <c r="B25" s="474" t="s">
        <v>1372</v>
      </c>
      <c r="C25" s="430"/>
      <c r="D25" s="455">
        <f>+D26+D27</f>
        <v>42219</v>
      </c>
      <c r="E25" s="451"/>
      <c r="F25" s="455"/>
      <c r="G25" s="292"/>
      <c r="H25" s="489"/>
      <c r="I25" s="349"/>
      <c r="J25" s="455">
        <f>+J26+J27</f>
        <v>42219</v>
      </c>
      <c r="K25" s="349"/>
      <c r="L25" s="349"/>
      <c r="M25" s="363"/>
      <c r="N25" s="346"/>
      <c r="O25" s="430">
        <f>+O26+O27</f>
        <v>3000</v>
      </c>
      <c r="P25" s="455">
        <f t="shared" ref="P25:W25" si="14">+P26+P27</f>
        <v>0</v>
      </c>
      <c r="Q25" s="455">
        <f t="shared" si="14"/>
        <v>19200</v>
      </c>
      <c r="R25" s="455">
        <f t="shared" si="14"/>
        <v>0</v>
      </c>
      <c r="S25" s="455">
        <f t="shared" si="14"/>
        <v>0</v>
      </c>
      <c r="T25" s="455">
        <f t="shared" si="14"/>
        <v>0</v>
      </c>
      <c r="U25" s="455">
        <f t="shared" si="14"/>
        <v>10019</v>
      </c>
      <c r="V25" s="455">
        <f t="shared" si="14"/>
        <v>10000</v>
      </c>
      <c r="W25" s="350">
        <f t="shared" si="14"/>
        <v>0</v>
      </c>
      <c r="X25" s="349"/>
      <c r="Y25" s="349"/>
      <c r="Z25" s="349"/>
      <c r="AA25" s="349"/>
      <c r="AB25" s="349"/>
      <c r="AC25" s="349"/>
      <c r="AD25" s="349"/>
      <c r="AE25" s="349"/>
      <c r="AF25" s="359"/>
      <c r="AG25" s="293"/>
      <c r="AH25" s="293"/>
      <c r="AI25" s="293"/>
      <c r="AJ25" s="293"/>
      <c r="AK25" s="293"/>
      <c r="AL25" s="293"/>
      <c r="AM25" s="293"/>
      <c r="AN25" s="293"/>
      <c r="AO25" s="293"/>
      <c r="AP25" s="293"/>
      <c r="AQ25" s="293"/>
      <c r="AR25" s="293"/>
      <c r="AS25" s="293"/>
      <c r="AT25" s="293"/>
      <c r="AU25" s="293"/>
      <c r="AV25" s="293"/>
      <c r="AW25" s="293"/>
      <c r="AX25" s="293"/>
      <c r="AY25" s="293"/>
      <c r="AZ25" s="293"/>
      <c r="BA25" s="293"/>
      <c r="BB25" s="293"/>
      <c r="BC25" s="293"/>
      <c r="BD25" s="293"/>
      <c r="BE25" s="293"/>
      <c r="BF25" s="293"/>
      <c r="BG25" s="293"/>
      <c r="BH25" s="293"/>
      <c r="BI25" s="293"/>
      <c r="BJ25" s="293"/>
      <c r="BK25" s="293"/>
      <c r="BL25" s="293"/>
      <c r="BM25" s="293"/>
      <c r="BN25" s="293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  <c r="CA25" s="293"/>
      <c r="CB25" s="293"/>
      <c r="CC25" s="293"/>
      <c r="CD25" s="293"/>
      <c r="CE25" s="293"/>
      <c r="CF25" s="293"/>
      <c r="CG25" s="293"/>
      <c r="CH25" s="293"/>
      <c r="CI25" s="293"/>
      <c r="CJ25" s="293"/>
      <c r="CK25" s="293"/>
      <c r="CL25" s="293"/>
      <c r="CM25" s="293"/>
      <c r="CN25" s="293"/>
      <c r="CO25" s="293"/>
      <c r="CP25" s="293"/>
      <c r="CQ25" s="293"/>
      <c r="CR25" s="293"/>
      <c r="CS25" s="293"/>
      <c r="CT25" s="293"/>
      <c r="CU25" s="293"/>
      <c r="CV25" s="293"/>
      <c r="CW25" s="293"/>
      <c r="CX25" s="293"/>
      <c r="CY25" s="293"/>
    </row>
    <row r="26" spans="1:103" s="390" customFormat="1" ht="15.75" customHeight="1" x14ac:dyDescent="0.25">
      <c r="A26" s="515" t="s">
        <v>63</v>
      </c>
      <c r="B26" s="475" t="s">
        <v>1410</v>
      </c>
      <c r="C26" s="431"/>
      <c r="D26" s="119">
        <f>+J26</f>
        <v>32219</v>
      </c>
      <c r="E26" s="118"/>
      <c r="F26" s="119"/>
      <c r="G26" s="294"/>
      <c r="H26" s="490"/>
      <c r="I26" s="290"/>
      <c r="J26" s="119">
        <f>+O26+P26+Q26+R26+S26+T26+U26+V26+W26</f>
        <v>32219</v>
      </c>
      <c r="K26" s="290"/>
      <c r="L26" s="290"/>
      <c r="M26" s="354"/>
      <c r="N26" s="353"/>
      <c r="O26" s="431"/>
      <c r="P26" s="119"/>
      <c r="Q26" s="119">
        <f>24000*0.8-7000</f>
        <v>12200</v>
      </c>
      <c r="R26" s="119"/>
      <c r="S26" s="119"/>
      <c r="T26" s="119"/>
      <c r="U26" s="119">
        <v>10019</v>
      </c>
      <c r="V26" s="119">
        <v>10000</v>
      </c>
      <c r="W26" s="356"/>
      <c r="X26" s="290"/>
      <c r="Y26" s="290"/>
      <c r="Z26" s="290"/>
      <c r="AA26" s="290"/>
      <c r="AB26" s="290"/>
      <c r="AC26" s="290"/>
      <c r="AD26" s="290"/>
      <c r="AE26" s="290"/>
      <c r="AF26" s="362"/>
      <c r="AG26" s="389"/>
      <c r="AH26" s="389"/>
      <c r="AI26" s="389"/>
      <c r="AJ26" s="389"/>
      <c r="AK26" s="389"/>
      <c r="AL26" s="389"/>
      <c r="AM26" s="389"/>
      <c r="AN26" s="389"/>
      <c r="AO26" s="389"/>
      <c r="AP26" s="389"/>
      <c r="AQ26" s="389"/>
      <c r="AR26" s="389"/>
      <c r="AS26" s="389"/>
      <c r="AT26" s="389"/>
      <c r="AU26" s="389"/>
      <c r="AV26" s="389"/>
      <c r="AW26" s="389"/>
      <c r="AX26" s="389"/>
      <c r="AY26" s="389"/>
      <c r="AZ26" s="389"/>
      <c r="BA26" s="389"/>
      <c r="BB26" s="389"/>
      <c r="BC26" s="389"/>
      <c r="BD26" s="389"/>
      <c r="BE26" s="389"/>
      <c r="BF26" s="389"/>
      <c r="BG26" s="389"/>
      <c r="BH26" s="389"/>
      <c r="BI26" s="389"/>
      <c r="BJ26" s="389"/>
      <c r="BK26" s="389"/>
      <c r="BL26" s="389"/>
      <c r="BM26" s="389"/>
      <c r="BN26" s="389"/>
      <c r="BO26" s="389"/>
      <c r="BP26" s="389"/>
      <c r="BQ26" s="389"/>
      <c r="BR26" s="389"/>
      <c r="BS26" s="389"/>
      <c r="BT26" s="389"/>
      <c r="BU26" s="389"/>
      <c r="BV26" s="389"/>
      <c r="BW26" s="389"/>
      <c r="BX26" s="389"/>
      <c r="BY26" s="389"/>
      <c r="BZ26" s="389"/>
      <c r="CA26" s="389"/>
      <c r="CB26" s="389"/>
      <c r="CC26" s="389"/>
      <c r="CD26" s="389"/>
      <c r="CE26" s="389"/>
      <c r="CF26" s="389"/>
      <c r="CG26" s="389"/>
      <c r="CH26" s="389"/>
      <c r="CI26" s="389"/>
      <c r="CJ26" s="389"/>
      <c r="CK26" s="389"/>
      <c r="CL26" s="389"/>
      <c r="CM26" s="389"/>
      <c r="CN26" s="389"/>
      <c r="CO26" s="389"/>
      <c r="CP26" s="389"/>
      <c r="CQ26" s="389"/>
      <c r="CR26" s="389"/>
      <c r="CS26" s="389"/>
      <c r="CT26" s="389"/>
      <c r="CU26" s="389"/>
      <c r="CV26" s="389"/>
      <c r="CW26" s="389"/>
      <c r="CX26" s="389"/>
      <c r="CY26" s="389"/>
    </row>
    <row r="27" spans="1:103" s="390" customFormat="1" ht="15.75" customHeight="1" x14ac:dyDescent="0.25">
      <c r="A27" s="515" t="s">
        <v>64</v>
      </c>
      <c r="B27" s="475" t="s">
        <v>1412</v>
      </c>
      <c r="C27" s="431"/>
      <c r="D27" s="119">
        <f>+J27</f>
        <v>10000</v>
      </c>
      <c r="E27" s="118"/>
      <c r="F27" s="119"/>
      <c r="G27" s="294"/>
      <c r="H27" s="490"/>
      <c r="I27" s="290"/>
      <c r="J27" s="119">
        <f>+O27+P27+Q27+R27+S27+T27+U27+V27+W27</f>
        <v>10000</v>
      </c>
      <c r="K27" s="290"/>
      <c r="L27" s="290"/>
      <c r="M27" s="354"/>
      <c r="N27" s="353"/>
      <c r="O27" s="431">
        <v>3000</v>
      </c>
      <c r="P27" s="119"/>
      <c r="Q27" s="119">
        <v>7000</v>
      </c>
      <c r="R27" s="119"/>
      <c r="S27" s="119"/>
      <c r="T27" s="119"/>
      <c r="U27" s="119"/>
      <c r="V27" s="119"/>
      <c r="W27" s="356"/>
      <c r="X27" s="290"/>
      <c r="Y27" s="290"/>
      <c r="Z27" s="290"/>
      <c r="AA27" s="290"/>
      <c r="AB27" s="290"/>
      <c r="AC27" s="290"/>
      <c r="AD27" s="290"/>
      <c r="AE27" s="290"/>
      <c r="AF27" s="362"/>
      <c r="AG27" s="389"/>
      <c r="AH27" s="389"/>
      <c r="AI27" s="389"/>
      <c r="AJ27" s="389"/>
      <c r="AK27" s="389"/>
      <c r="AL27" s="389"/>
      <c r="AM27" s="389"/>
      <c r="AN27" s="389"/>
      <c r="AO27" s="389"/>
      <c r="AP27" s="389"/>
      <c r="AQ27" s="389"/>
      <c r="AR27" s="389"/>
      <c r="AS27" s="389"/>
      <c r="AT27" s="389"/>
      <c r="AU27" s="389"/>
      <c r="AV27" s="389"/>
      <c r="AW27" s="389"/>
      <c r="AX27" s="389"/>
      <c r="AY27" s="389"/>
      <c r="AZ27" s="389"/>
      <c r="BA27" s="389"/>
      <c r="BB27" s="389"/>
      <c r="BC27" s="389"/>
      <c r="BD27" s="389"/>
      <c r="BE27" s="389"/>
      <c r="BF27" s="389"/>
      <c r="BG27" s="389"/>
      <c r="BH27" s="389"/>
      <c r="BI27" s="389"/>
      <c r="BJ27" s="389"/>
      <c r="BK27" s="389"/>
      <c r="BL27" s="389"/>
      <c r="BM27" s="389"/>
      <c r="BN27" s="389"/>
      <c r="BO27" s="389"/>
      <c r="BP27" s="389"/>
      <c r="BQ27" s="389"/>
      <c r="BR27" s="389"/>
      <c r="BS27" s="389"/>
      <c r="BT27" s="389"/>
      <c r="BU27" s="389"/>
      <c r="BV27" s="389"/>
      <c r="BW27" s="389"/>
      <c r="BX27" s="389"/>
      <c r="BY27" s="389"/>
      <c r="BZ27" s="389"/>
      <c r="CA27" s="389"/>
      <c r="CB27" s="389"/>
      <c r="CC27" s="389"/>
      <c r="CD27" s="389"/>
      <c r="CE27" s="389"/>
      <c r="CF27" s="389"/>
      <c r="CG27" s="389"/>
      <c r="CH27" s="389"/>
      <c r="CI27" s="389"/>
      <c r="CJ27" s="389"/>
      <c r="CK27" s="389"/>
      <c r="CL27" s="389"/>
      <c r="CM27" s="389"/>
      <c r="CN27" s="389"/>
      <c r="CO27" s="389"/>
      <c r="CP27" s="389"/>
      <c r="CQ27" s="389"/>
      <c r="CR27" s="389"/>
      <c r="CS27" s="389"/>
      <c r="CT27" s="389"/>
      <c r="CU27" s="389"/>
      <c r="CV27" s="389"/>
      <c r="CW27" s="389"/>
      <c r="CX27" s="389"/>
      <c r="CY27" s="389"/>
    </row>
    <row r="28" spans="1:103" s="447" customFormat="1" ht="15.75" x14ac:dyDescent="0.25">
      <c r="A28" s="448" t="s">
        <v>65</v>
      </c>
      <c r="B28" s="474" t="s">
        <v>1373</v>
      </c>
      <c r="C28" s="430"/>
      <c r="D28" s="455">
        <f>+D29</f>
        <v>12900</v>
      </c>
      <c r="E28" s="451"/>
      <c r="F28" s="455"/>
      <c r="G28" s="292"/>
      <c r="H28" s="489"/>
      <c r="I28" s="349"/>
      <c r="J28" s="455">
        <f>+J29</f>
        <v>12900</v>
      </c>
      <c r="K28" s="349"/>
      <c r="L28" s="349"/>
      <c r="M28" s="363"/>
      <c r="N28" s="346"/>
      <c r="O28" s="430">
        <f>+O29</f>
        <v>3000</v>
      </c>
      <c r="P28" s="455">
        <f>+P29</f>
        <v>7300</v>
      </c>
      <c r="Q28" s="455"/>
      <c r="R28" s="455"/>
      <c r="S28" s="455"/>
      <c r="T28" s="455"/>
      <c r="U28" s="455"/>
      <c r="V28" s="455"/>
      <c r="W28" s="350">
        <f>+W29</f>
        <v>2600</v>
      </c>
      <c r="X28" s="349"/>
      <c r="Y28" s="349"/>
      <c r="Z28" s="349"/>
      <c r="AA28" s="349"/>
      <c r="AB28" s="349"/>
      <c r="AC28" s="349"/>
      <c r="AD28" s="349"/>
      <c r="AE28" s="349"/>
      <c r="AF28" s="359"/>
      <c r="AG28" s="293"/>
      <c r="AH28" s="293"/>
      <c r="AI28" s="293"/>
      <c r="AJ28" s="293"/>
      <c r="AK28" s="293"/>
      <c r="AL28" s="293"/>
      <c r="AM28" s="293"/>
      <c r="AN28" s="293"/>
      <c r="AO28" s="293"/>
      <c r="AP28" s="293"/>
      <c r="AQ28" s="293"/>
      <c r="AR28" s="293"/>
      <c r="AS28" s="293"/>
      <c r="AT28" s="293"/>
      <c r="AU28" s="293"/>
      <c r="AV28" s="293"/>
      <c r="AW28" s="293"/>
      <c r="AX28" s="293"/>
      <c r="AY28" s="293"/>
      <c r="AZ28" s="293"/>
      <c r="BA28" s="293"/>
      <c r="BB28" s="293"/>
      <c r="BC28" s="293"/>
      <c r="BD28" s="293"/>
      <c r="BE28" s="293"/>
      <c r="BF28" s="293"/>
      <c r="BG28" s="293"/>
      <c r="BH28" s="293"/>
      <c r="BI28" s="293"/>
      <c r="BJ28" s="293"/>
      <c r="BK28" s="293"/>
      <c r="BL28" s="293"/>
      <c r="BM28" s="293"/>
      <c r="BN28" s="293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  <c r="CA28" s="293"/>
      <c r="CB28" s="293"/>
      <c r="CC28" s="293"/>
      <c r="CD28" s="293"/>
      <c r="CE28" s="293"/>
      <c r="CF28" s="293"/>
      <c r="CG28" s="293"/>
      <c r="CH28" s="293"/>
      <c r="CI28" s="293"/>
      <c r="CJ28" s="293"/>
      <c r="CK28" s="293"/>
      <c r="CL28" s="293"/>
      <c r="CM28" s="293"/>
      <c r="CN28" s="293"/>
      <c r="CO28" s="293"/>
      <c r="CP28" s="293"/>
      <c r="CQ28" s="293"/>
      <c r="CR28" s="293"/>
      <c r="CS28" s="293"/>
      <c r="CT28" s="293"/>
      <c r="CU28" s="293"/>
      <c r="CV28" s="293"/>
      <c r="CW28" s="293"/>
      <c r="CX28" s="293"/>
      <c r="CY28" s="293"/>
    </row>
    <row r="29" spans="1:103" x14ac:dyDescent="0.25">
      <c r="A29" s="515" t="s">
        <v>66</v>
      </c>
      <c r="B29" s="475" t="s">
        <v>1411</v>
      </c>
      <c r="C29" s="431"/>
      <c r="D29" s="119">
        <f>+J29</f>
        <v>12900</v>
      </c>
      <c r="E29" s="118"/>
      <c r="F29" s="119"/>
      <c r="G29" s="294"/>
      <c r="H29" s="490"/>
      <c r="I29" s="290"/>
      <c r="J29" s="119">
        <f>+O29+P29+Q29+R29+S29+T29+U29+V29+W29</f>
        <v>12900</v>
      </c>
      <c r="K29" s="290"/>
      <c r="L29" s="290"/>
      <c r="M29" s="354"/>
      <c r="N29" s="353"/>
      <c r="O29" s="431">
        <v>3000</v>
      </c>
      <c r="P29" s="119">
        <v>7300</v>
      </c>
      <c r="Q29" s="119"/>
      <c r="R29" s="119"/>
      <c r="S29" s="119"/>
      <c r="T29" s="119"/>
      <c r="U29" s="119"/>
      <c r="V29" s="119"/>
      <c r="W29" s="526">
        <f>7600-5000</f>
        <v>2600</v>
      </c>
      <c r="X29" s="290"/>
      <c r="Y29" s="290"/>
      <c r="Z29" s="290"/>
      <c r="AA29" s="290"/>
      <c r="AB29" s="290"/>
      <c r="AC29" s="290"/>
      <c r="AD29" s="290"/>
      <c r="AE29" s="290"/>
      <c r="AF29" s="362"/>
    </row>
    <row r="30" spans="1:103" s="447" customFormat="1" ht="15.75" customHeight="1" x14ac:dyDescent="0.25">
      <c r="A30" s="448" t="s">
        <v>68</v>
      </c>
      <c r="B30" s="474" t="s">
        <v>155</v>
      </c>
      <c r="C30" s="430"/>
      <c r="D30" s="455">
        <f>+J30</f>
        <v>27500</v>
      </c>
      <c r="E30" s="451"/>
      <c r="F30" s="455"/>
      <c r="G30" s="292"/>
      <c r="H30" s="489"/>
      <c r="I30" s="349"/>
      <c r="J30" s="455">
        <f>+O30+P30+Q30+R30+S30+T30+U30+V30+W30</f>
        <v>27500</v>
      </c>
      <c r="K30" s="349"/>
      <c r="L30" s="349"/>
      <c r="M30" s="363"/>
      <c r="N30" s="346"/>
      <c r="O30" s="430">
        <v>27500</v>
      </c>
      <c r="P30" s="455"/>
      <c r="Q30" s="455"/>
      <c r="R30" s="455"/>
      <c r="S30" s="455"/>
      <c r="T30" s="455"/>
      <c r="U30" s="455"/>
      <c r="V30" s="455"/>
      <c r="W30" s="350"/>
      <c r="X30" s="349"/>
      <c r="Y30" s="349"/>
      <c r="Z30" s="349"/>
      <c r="AA30" s="349"/>
      <c r="AB30" s="349"/>
      <c r="AC30" s="349"/>
      <c r="AD30" s="349"/>
      <c r="AE30" s="349"/>
      <c r="AF30" s="359"/>
      <c r="AG30" s="293"/>
      <c r="AH30" s="293"/>
      <c r="AI30" s="293"/>
      <c r="AJ30" s="293"/>
      <c r="AK30" s="293"/>
      <c r="AL30" s="293"/>
      <c r="AM30" s="293"/>
      <c r="AN30" s="293"/>
      <c r="AO30" s="293"/>
      <c r="AP30" s="293"/>
      <c r="AQ30" s="293"/>
      <c r="AR30" s="293"/>
      <c r="AS30" s="293"/>
      <c r="AT30" s="293"/>
      <c r="AU30" s="293"/>
      <c r="AV30" s="293"/>
      <c r="AW30" s="293"/>
      <c r="AX30" s="293"/>
      <c r="AY30" s="293"/>
      <c r="AZ30" s="293"/>
      <c r="BA30" s="293"/>
      <c r="BB30" s="293"/>
      <c r="BC30" s="293"/>
      <c r="BD30" s="293"/>
      <c r="BE30" s="293"/>
      <c r="BF30" s="293"/>
      <c r="BG30" s="293"/>
      <c r="BH30" s="293"/>
      <c r="BI30" s="293"/>
      <c r="BJ30" s="293"/>
      <c r="BK30" s="293"/>
      <c r="BL30" s="293"/>
      <c r="BM30" s="293"/>
      <c r="BN30" s="293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  <c r="CA30" s="293"/>
      <c r="CB30" s="293"/>
      <c r="CC30" s="293"/>
      <c r="CD30" s="293"/>
      <c r="CE30" s="293"/>
      <c r="CF30" s="293"/>
      <c r="CG30" s="293"/>
      <c r="CH30" s="293"/>
      <c r="CI30" s="293"/>
      <c r="CJ30" s="293"/>
      <c r="CK30" s="293"/>
      <c r="CL30" s="293"/>
      <c r="CM30" s="293"/>
      <c r="CN30" s="293"/>
      <c r="CO30" s="293"/>
      <c r="CP30" s="293"/>
      <c r="CQ30" s="293"/>
      <c r="CR30" s="293"/>
      <c r="CS30" s="293"/>
      <c r="CT30" s="293"/>
      <c r="CU30" s="293"/>
      <c r="CV30" s="293"/>
      <c r="CW30" s="293"/>
      <c r="CX30" s="293"/>
      <c r="CY30" s="293"/>
    </row>
    <row r="31" spans="1:103" s="344" customFormat="1" ht="21" x14ac:dyDescent="0.35">
      <c r="A31" s="338" t="s">
        <v>77</v>
      </c>
      <c r="B31" s="473" t="s">
        <v>712</v>
      </c>
      <c r="C31" s="429">
        <f>+C32+C40+C47+C54+C59+C63+C70+C76+C79+C83+C100+C103</f>
        <v>136039.12</v>
      </c>
      <c r="D31" s="339">
        <f>+D32+D40+D47+D54+D59+D63+D70+D76+D79+D83+D100+D103+D106</f>
        <v>265832.32000000001</v>
      </c>
      <c r="E31" s="501">
        <f>+E32+E40+E47+E54+E59+E63+E70+E76+E79+E83+E100+E103</f>
        <v>125770.87</v>
      </c>
      <c r="F31" s="339">
        <f>+F32+F40+F47+F54+F59+F63+F70+F76+F79+F83+F100+F103</f>
        <v>153338</v>
      </c>
      <c r="G31" s="340">
        <f t="shared" si="3"/>
        <v>1.7336362806349372</v>
      </c>
      <c r="H31" s="488">
        <f t="shared" ref="H31:H37" si="15">+F31/C31</f>
        <v>1.1271610695511702</v>
      </c>
      <c r="I31" s="288">
        <v>121671</v>
      </c>
      <c r="J31" s="339">
        <f>+O31+P31+Q31+R31+S31+T31+U31+V31+W31</f>
        <v>245527.35</v>
      </c>
      <c r="K31" s="288">
        <v>62675.33</v>
      </c>
      <c r="L31" s="288">
        <f t="shared" ref="L31:L110" si="16">+X31+Y31+Z31+AA31+AB31+AC31+AD31+AE31+AF31</f>
        <v>154338</v>
      </c>
      <c r="M31" s="342">
        <f>+J31/L31</f>
        <v>1.5908418535940598</v>
      </c>
      <c r="N31" s="341">
        <f>+L31/I31</f>
        <v>1.2684863278842125</v>
      </c>
      <c r="O31" s="429">
        <f t="shared" ref="O31:W31" si="17">O32+O40+O47+O54+O59+O63+O70+O76+O79+O83+O100+O103+O106</f>
        <v>21600</v>
      </c>
      <c r="P31" s="339">
        <f t="shared" si="17"/>
        <v>30240</v>
      </c>
      <c r="Q31" s="339">
        <f t="shared" si="17"/>
        <v>29553</v>
      </c>
      <c r="R31" s="339">
        <f t="shared" si="17"/>
        <v>19487</v>
      </c>
      <c r="S31" s="339">
        <f t="shared" si="17"/>
        <v>0</v>
      </c>
      <c r="T31" s="339">
        <f t="shared" si="17"/>
        <v>64533</v>
      </c>
      <c r="U31" s="339">
        <f t="shared" si="17"/>
        <v>7500</v>
      </c>
      <c r="V31" s="339">
        <f t="shared" si="17"/>
        <v>35707.949999999997</v>
      </c>
      <c r="W31" s="461">
        <f t="shared" si="17"/>
        <v>36906.400000000001</v>
      </c>
      <c r="X31" s="288">
        <f>X32+X40+X47+X54+X59+X63+X70+X76+X79+X83+X100+X103</f>
        <v>46950</v>
      </c>
      <c r="Y31" s="288">
        <f>Y32+Y40+Y47+Y54+Y59+Y63+Y70+Y76+Y79+Y83+Y100+Y103</f>
        <v>10050</v>
      </c>
      <c r="Z31" s="288">
        <f>Z32+Z40+Z47+Z54+Z59+Z63+Z70+Z76+Z79+Z83+Z100+Z103</f>
        <v>6800</v>
      </c>
      <c r="AA31" s="288"/>
      <c r="AB31" s="288"/>
      <c r="AC31" s="288">
        <f>+AC32+AC40+AC47+AC54+AC59+AC63+AC70+AC76+AC79+AC83+AC100+AC103</f>
        <v>26533</v>
      </c>
      <c r="AD31" s="288">
        <f>+AD32+AD40+AD47+AD54+AD59+AD63+AD70+AD76+AD79+AD83+AD100+AD103</f>
        <v>10000</v>
      </c>
      <c r="AE31" s="288">
        <f>+AE32+AE40+AE47+AE54+AE59+AE63+AE70+AE76+AE79+AE83+AE100+AE103</f>
        <v>29205</v>
      </c>
      <c r="AF31" s="289">
        <f>+AF32+AF40+AF47+AF54+AF59+AF63+AF70+AF76+AF79+AF83+AF100+AF103</f>
        <v>24800</v>
      </c>
      <c r="AG31" s="343"/>
      <c r="AH31" s="343"/>
      <c r="AI31" s="343"/>
      <c r="AJ31" s="343"/>
      <c r="AK31" s="343"/>
      <c r="AL31" s="343"/>
      <c r="AM31" s="343"/>
      <c r="AN31" s="343"/>
      <c r="AO31" s="343"/>
      <c r="AP31" s="343"/>
      <c r="AQ31" s="343"/>
      <c r="AR31" s="343"/>
      <c r="AS31" s="343"/>
      <c r="AT31" s="343"/>
      <c r="AU31" s="343"/>
      <c r="AV31" s="343"/>
      <c r="AW31" s="343"/>
      <c r="AX31" s="343"/>
      <c r="AY31" s="343"/>
      <c r="AZ31" s="343"/>
      <c r="BA31" s="343"/>
      <c r="BB31" s="343"/>
      <c r="BC31" s="343"/>
      <c r="BD31" s="343"/>
      <c r="BE31" s="343"/>
      <c r="BF31" s="343"/>
      <c r="BG31" s="343"/>
      <c r="BH31" s="343"/>
      <c r="BI31" s="343"/>
      <c r="BJ31" s="343"/>
      <c r="BK31" s="343"/>
      <c r="BL31" s="343"/>
      <c r="BM31" s="343"/>
      <c r="BN31" s="343"/>
      <c r="BO31" s="343"/>
      <c r="BP31" s="343"/>
      <c r="BQ31" s="343"/>
      <c r="BR31" s="343"/>
      <c r="BS31" s="343"/>
      <c r="BT31" s="343"/>
      <c r="BU31" s="343"/>
      <c r="BV31" s="343"/>
      <c r="BW31" s="343"/>
      <c r="BX31" s="343"/>
      <c r="BY31" s="343"/>
      <c r="BZ31" s="343"/>
      <c r="CA31" s="343"/>
      <c r="CB31" s="343"/>
      <c r="CC31" s="343"/>
      <c r="CD31" s="343"/>
      <c r="CE31" s="343"/>
      <c r="CF31" s="343"/>
      <c r="CG31" s="343"/>
      <c r="CH31" s="343"/>
      <c r="CI31" s="343"/>
      <c r="CJ31" s="343"/>
      <c r="CK31" s="343"/>
      <c r="CL31" s="343"/>
      <c r="CM31" s="343"/>
      <c r="CN31" s="343"/>
      <c r="CO31" s="343"/>
      <c r="CP31" s="343"/>
      <c r="CQ31" s="343"/>
      <c r="CR31" s="343"/>
      <c r="CS31" s="343"/>
      <c r="CT31" s="343"/>
      <c r="CU31" s="343"/>
      <c r="CV31" s="343"/>
      <c r="CW31" s="343"/>
      <c r="CX31" s="343"/>
      <c r="CY31" s="343"/>
    </row>
    <row r="32" spans="1:103" s="351" customFormat="1" ht="15.75" outlineLevel="1" x14ac:dyDescent="0.25">
      <c r="A32" s="345" t="s">
        <v>1</v>
      </c>
      <c r="B32" s="474" t="s">
        <v>78</v>
      </c>
      <c r="C32" s="430">
        <f>SUM(C33:C39)</f>
        <v>11916.96</v>
      </c>
      <c r="D32" s="455">
        <f>SUM(D33:D39)</f>
        <v>7710</v>
      </c>
      <c r="E32" s="274">
        <f>SUM(E33:E39)</f>
        <v>8098.43</v>
      </c>
      <c r="F32" s="455">
        <f>SUM(F33:F39)</f>
        <v>9350</v>
      </c>
      <c r="G32" s="292">
        <f t="shared" si="3"/>
        <v>0.82459893048128341</v>
      </c>
      <c r="H32" s="489">
        <f t="shared" si="15"/>
        <v>0.78459607148131749</v>
      </c>
      <c r="I32" s="349"/>
      <c r="J32" s="347">
        <f>SUM(J33:J39)</f>
        <v>7710</v>
      </c>
      <c r="K32" s="291"/>
      <c r="L32" s="291">
        <f t="shared" si="16"/>
        <v>9350</v>
      </c>
      <c r="M32" s="348">
        <f>+J32/L32</f>
        <v>0.82459893048128341</v>
      </c>
      <c r="N32" s="392"/>
      <c r="O32" s="430">
        <f>SUM(O33:O39)</f>
        <v>2350</v>
      </c>
      <c r="P32" s="455">
        <f>SUM(P33:P39)</f>
        <v>0</v>
      </c>
      <c r="Q32" s="455">
        <f>SUM(Q33:Q39)</f>
        <v>3360</v>
      </c>
      <c r="R32" s="455">
        <f>SUM(R33:R39)</f>
        <v>0</v>
      </c>
      <c r="S32" s="455">
        <f>SUM(S33:S39)</f>
        <v>0</v>
      </c>
      <c r="T32" s="455">
        <f t="shared" ref="T32:AA32" si="18">SUM(T33:T39)</f>
        <v>2000</v>
      </c>
      <c r="U32" s="455">
        <f t="shared" si="18"/>
        <v>0</v>
      </c>
      <c r="V32" s="455">
        <f t="shared" si="18"/>
        <v>0</v>
      </c>
      <c r="W32" s="350">
        <f t="shared" si="18"/>
        <v>0</v>
      </c>
      <c r="X32" s="349">
        <f t="shared" si="18"/>
        <v>2150</v>
      </c>
      <c r="Y32" s="455">
        <f t="shared" si="18"/>
        <v>1000</v>
      </c>
      <c r="Z32" s="455">
        <f t="shared" si="18"/>
        <v>4200</v>
      </c>
      <c r="AA32" s="455">
        <f t="shared" si="18"/>
        <v>0</v>
      </c>
      <c r="AB32" s="455">
        <f>SUM(AB33:AB39)</f>
        <v>0</v>
      </c>
      <c r="AC32" s="455">
        <f>SUM(AC33:AC39)</f>
        <v>2000</v>
      </c>
      <c r="AD32" s="455">
        <f>SUM(AD33:AD39)</f>
        <v>0</v>
      </c>
      <c r="AE32" s="455">
        <f>SUM(AE33:AE39)</f>
        <v>0</v>
      </c>
      <c r="AF32" s="350">
        <f>SUM(AF33:AF39)</f>
        <v>0</v>
      </c>
      <c r="AG32" s="293"/>
      <c r="AH32" s="293"/>
      <c r="AI32" s="293"/>
      <c r="AJ32" s="293"/>
      <c r="AK32" s="293"/>
      <c r="AL32" s="293"/>
      <c r="AM32" s="293"/>
      <c r="AN32" s="293"/>
      <c r="AO32" s="293"/>
      <c r="AP32" s="293"/>
      <c r="AQ32" s="293"/>
      <c r="AR32" s="293"/>
      <c r="AS32" s="293"/>
      <c r="AT32" s="293"/>
      <c r="AU32" s="293"/>
      <c r="AV32" s="293"/>
      <c r="AW32" s="293"/>
      <c r="AX32" s="293"/>
      <c r="AY32" s="293"/>
      <c r="AZ32" s="293"/>
      <c r="BA32" s="293"/>
      <c r="BB32" s="293"/>
      <c r="BC32" s="293"/>
      <c r="BD32" s="293"/>
      <c r="BE32" s="293"/>
      <c r="BF32" s="293"/>
      <c r="BG32" s="293"/>
      <c r="BH32" s="293"/>
      <c r="BI32" s="293"/>
      <c r="BJ32" s="293"/>
      <c r="BK32" s="293"/>
      <c r="BL32" s="293"/>
      <c r="BM32" s="293"/>
      <c r="BN32" s="293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  <c r="CA32" s="293"/>
      <c r="CB32" s="293"/>
      <c r="CC32" s="293"/>
      <c r="CD32" s="293"/>
      <c r="CE32" s="293"/>
      <c r="CF32" s="293"/>
      <c r="CG32" s="293"/>
      <c r="CH32" s="293"/>
      <c r="CI32" s="293"/>
      <c r="CJ32" s="293"/>
      <c r="CK32" s="293"/>
      <c r="CL32" s="293"/>
      <c r="CM32" s="293"/>
      <c r="CN32" s="293"/>
      <c r="CO32" s="293"/>
      <c r="CP32" s="293"/>
      <c r="CQ32" s="293"/>
      <c r="CR32" s="293"/>
      <c r="CS32" s="293"/>
      <c r="CT32" s="293"/>
      <c r="CU32" s="293"/>
      <c r="CV32" s="293"/>
      <c r="CW32" s="293"/>
      <c r="CX32" s="293"/>
      <c r="CY32" s="293"/>
    </row>
    <row r="33" spans="1:103" outlineLevel="1" x14ac:dyDescent="0.25">
      <c r="A33" s="352" t="s">
        <v>3</v>
      </c>
      <c r="B33" s="475" t="s">
        <v>79</v>
      </c>
      <c r="C33" s="431">
        <v>2718.66</v>
      </c>
      <c r="D33" s="119">
        <f>+J33</f>
        <v>2000</v>
      </c>
      <c r="E33" s="110">
        <v>1578.05</v>
      </c>
      <c r="F33" s="119">
        <f t="shared" ref="F33:F39" si="19">+L33</f>
        <v>3000</v>
      </c>
      <c r="G33" s="294">
        <f t="shared" si="3"/>
        <v>0.66666666666666663</v>
      </c>
      <c r="H33" s="490">
        <f t="shared" si="15"/>
        <v>1.103484805014235</v>
      </c>
      <c r="I33" s="290"/>
      <c r="J33" s="119">
        <f t="shared" ref="J33:J110" si="20">+O33+P33+Q33+R33+S33+T33+U33+V33+W33</f>
        <v>2000</v>
      </c>
      <c r="K33" s="290"/>
      <c r="L33" s="290">
        <f t="shared" si="16"/>
        <v>3000</v>
      </c>
      <c r="M33" s="354">
        <f>+J33/L33</f>
        <v>0.66666666666666663</v>
      </c>
      <c r="N33" s="353"/>
      <c r="O33" s="431"/>
      <c r="P33" s="119"/>
      <c r="Q33" s="119"/>
      <c r="R33" s="119"/>
      <c r="S33" s="119"/>
      <c r="T33" s="119">
        <v>2000</v>
      </c>
      <c r="U33" s="119"/>
      <c r="V33" s="119"/>
      <c r="W33" s="356"/>
      <c r="X33" s="290"/>
      <c r="Y33" s="119">
        <v>1000</v>
      </c>
      <c r="Z33" s="119"/>
      <c r="AA33" s="119"/>
      <c r="AB33" s="119"/>
      <c r="AC33" s="119">
        <v>2000</v>
      </c>
      <c r="AD33" s="119"/>
      <c r="AE33" s="355"/>
      <c r="AF33" s="356"/>
    </row>
    <row r="34" spans="1:103" outlineLevel="1" x14ac:dyDescent="0.25">
      <c r="A34" s="352" t="s">
        <v>4</v>
      </c>
      <c r="B34" s="475" t="s">
        <v>513</v>
      </c>
      <c r="C34" s="431">
        <f>1672.66-468.1-314.52</f>
        <v>890.04</v>
      </c>
      <c r="D34" s="119">
        <v>1000</v>
      </c>
      <c r="E34" s="110">
        <v>2979.06</v>
      </c>
      <c r="F34" s="119">
        <f t="shared" si="19"/>
        <v>800</v>
      </c>
      <c r="G34" s="294">
        <f t="shared" si="3"/>
        <v>1.25</v>
      </c>
      <c r="H34" s="490">
        <f t="shared" si="15"/>
        <v>0.89883600737045533</v>
      </c>
      <c r="I34" s="290"/>
      <c r="J34" s="119">
        <f t="shared" si="20"/>
        <v>1000</v>
      </c>
      <c r="K34" s="290"/>
      <c r="L34" s="290">
        <f t="shared" si="16"/>
        <v>800</v>
      </c>
      <c r="M34" s="354">
        <f>+J34/L34</f>
        <v>1.25</v>
      </c>
      <c r="N34" s="353"/>
      <c r="O34" s="431">
        <v>1000</v>
      </c>
      <c r="P34" s="119"/>
      <c r="Q34" s="119"/>
      <c r="R34" s="119"/>
      <c r="S34" s="119"/>
      <c r="T34" s="119"/>
      <c r="U34" s="119"/>
      <c r="V34" s="119"/>
      <c r="W34" s="356"/>
      <c r="X34" s="290">
        <v>800</v>
      </c>
      <c r="Y34" s="119"/>
      <c r="Z34" s="119"/>
      <c r="AA34" s="119"/>
      <c r="AB34" s="119"/>
      <c r="AC34" s="119"/>
      <c r="AD34" s="119"/>
      <c r="AE34" s="355"/>
      <c r="AF34" s="356"/>
    </row>
    <row r="35" spans="1:103" outlineLevel="1" x14ac:dyDescent="0.25">
      <c r="A35" s="352" t="s">
        <v>5</v>
      </c>
      <c r="B35" s="475" t="s">
        <v>80</v>
      </c>
      <c r="C35" s="431">
        <v>1350</v>
      </c>
      <c r="D35" s="119">
        <f>+J35</f>
        <v>1350</v>
      </c>
      <c r="E35" s="110">
        <v>1350</v>
      </c>
      <c r="F35" s="119">
        <f t="shared" si="19"/>
        <v>1350</v>
      </c>
      <c r="G35" s="294">
        <f t="shared" si="3"/>
        <v>1</v>
      </c>
      <c r="H35" s="490">
        <f t="shared" si="15"/>
        <v>1</v>
      </c>
      <c r="I35" s="290"/>
      <c r="J35" s="119">
        <f t="shared" si="20"/>
        <v>1350</v>
      </c>
      <c r="K35" s="290"/>
      <c r="L35" s="290">
        <f t="shared" si="16"/>
        <v>1350</v>
      </c>
      <c r="M35" s="354">
        <f>+J35/L35</f>
        <v>1</v>
      </c>
      <c r="N35" s="353"/>
      <c r="O35" s="431">
        <v>1350</v>
      </c>
      <c r="P35" s="119"/>
      <c r="Q35" s="119"/>
      <c r="R35" s="119"/>
      <c r="S35" s="119"/>
      <c r="T35" s="119"/>
      <c r="U35" s="119"/>
      <c r="V35" s="119"/>
      <c r="W35" s="356"/>
      <c r="X35" s="290">
        <v>1350</v>
      </c>
      <c r="Y35" s="119"/>
      <c r="Z35" s="119"/>
      <c r="AA35" s="119"/>
      <c r="AB35" s="119"/>
      <c r="AC35" s="119"/>
      <c r="AD35" s="119"/>
      <c r="AE35" s="355"/>
      <c r="AF35" s="356"/>
    </row>
    <row r="36" spans="1:103" outlineLevel="1" x14ac:dyDescent="0.25">
      <c r="A36" s="352" t="s">
        <v>6</v>
      </c>
      <c r="B36" s="475" t="s">
        <v>1182</v>
      </c>
      <c r="C36" s="431">
        <v>1469.76</v>
      </c>
      <c r="D36" s="119">
        <f>+J36</f>
        <v>0</v>
      </c>
      <c r="E36" s="110"/>
      <c r="F36" s="119">
        <f t="shared" si="19"/>
        <v>0</v>
      </c>
      <c r="G36" s="294"/>
      <c r="H36" s="490">
        <f t="shared" si="15"/>
        <v>0</v>
      </c>
      <c r="I36" s="290"/>
      <c r="J36" s="119">
        <f t="shared" si="20"/>
        <v>0</v>
      </c>
      <c r="K36" s="290"/>
      <c r="L36" s="290">
        <f t="shared" si="16"/>
        <v>0</v>
      </c>
      <c r="M36" s="354"/>
      <c r="N36" s="353"/>
      <c r="O36" s="431"/>
      <c r="P36" s="119"/>
      <c r="Q36" s="119"/>
      <c r="R36" s="119"/>
      <c r="S36" s="119"/>
      <c r="T36" s="119"/>
      <c r="U36" s="119"/>
      <c r="V36" s="119"/>
      <c r="W36" s="356"/>
      <c r="X36" s="290"/>
      <c r="Y36" s="119"/>
      <c r="Z36" s="119"/>
      <c r="AA36" s="119"/>
      <c r="AB36" s="119"/>
      <c r="AC36" s="119"/>
      <c r="AD36" s="119"/>
      <c r="AE36" s="355"/>
      <c r="AF36" s="356"/>
      <c r="AL36" s="295">
        <f>3000/1.22</f>
        <v>2459.0163934426232</v>
      </c>
    </row>
    <row r="37" spans="1:103" outlineLevel="1" x14ac:dyDescent="0.25">
      <c r="A37" s="352" t="s">
        <v>1183</v>
      </c>
      <c r="B37" s="475" t="s">
        <v>1184</v>
      </c>
      <c r="C37" s="431">
        <f>5233.41-716.26-28.65</f>
        <v>4488.5</v>
      </c>
      <c r="D37" s="119">
        <f>+J37</f>
        <v>0</v>
      </c>
      <c r="E37" s="110"/>
      <c r="F37" s="119">
        <f t="shared" si="19"/>
        <v>0</v>
      </c>
      <c r="G37" s="294"/>
      <c r="H37" s="490">
        <f t="shared" si="15"/>
        <v>0</v>
      </c>
      <c r="I37" s="290"/>
      <c r="J37" s="119">
        <f t="shared" si="20"/>
        <v>0</v>
      </c>
      <c r="K37" s="290"/>
      <c r="L37" s="290">
        <f t="shared" si="16"/>
        <v>0</v>
      </c>
      <c r="M37" s="354"/>
      <c r="N37" s="353"/>
      <c r="O37" s="431"/>
      <c r="P37" s="119"/>
      <c r="Q37" s="119"/>
      <c r="R37" s="119"/>
      <c r="S37" s="119"/>
      <c r="T37" s="119"/>
      <c r="U37" s="119"/>
      <c r="V37" s="119"/>
      <c r="W37" s="356"/>
      <c r="X37" s="290"/>
      <c r="Y37" s="119"/>
      <c r="Z37" s="119"/>
      <c r="AA37" s="119"/>
      <c r="AB37" s="119"/>
      <c r="AC37" s="119"/>
      <c r="AD37" s="119"/>
      <c r="AE37" s="355"/>
      <c r="AF37" s="356"/>
    </row>
    <row r="38" spans="1:103" outlineLevel="1" x14ac:dyDescent="0.25">
      <c r="A38" s="352" t="s">
        <v>1348</v>
      </c>
      <c r="B38" s="475" t="s">
        <v>1349</v>
      </c>
      <c r="C38" s="431"/>
      <c r="D38" s="119">
        <f>+J38</f>
        <v>3360</v>
      </c>
      <c r="E38" s="110">
        <v>2191.3200000000002</v>
      </c>
      <c r="F38" s="119">
        <f t="shared" si="19"/>
        <v>4200</v>
      </c>
      <c r="G38" s="294">
        <f t="shared" si="3"/>
        <v>0.8</v>
      </c>
      <c r="H38" s="490"/>
      <c r="I38" s="290"/>
      <c r="J38" s="119">
        <f t="shared" si="20"/>
        <v>3360</v>
      </c>
      <c r="K38" s="290"/>
      <c r="L38" s="290">
        <f t="shared" si="16"/>
        <v>4200</v>
      </c>
      <c r="M38" s="354">
        <f>+J38/L38</f>
        <v>0.8</v>
      </c>
      <c r="N38" s="353"/>
      <c r="O38" s="431"/>
      <c r="P38" s="119"/>
      <c r="Q38" s="119">
        <f>+Z38*0.8</f>
        <v>3360</v>
      </c>
      <c r="R38" s="119"/>
      <c r="S38" s="119"/>
      <c r="T38" s="119"/>
      <c r="U38" s="119"/>
      <c r="V38" s="119"/>
      <c r="W38" s="356"/>
      <c r="X38" s="290"/>
      <c r="Y38" s="119"/>
      <c r="Z38" s="119">
        <v>4200</v>
      </c>
      <c r="AA38" s="119"/>
      <c r="AB38" s="119"/>
      <c r="AC38" s="119"/>
      <c r="AD38" s="119"/>
      <c r="AE38" s="355"/>
      <c r="AF38" s="356"/>
    </row>
    <row r="39" spans="1:103" outlineLevel="1" x14ac:dyDescent="0.25">
      <c r="A39" s="352" t="s">
        <v>1030</v>
      </c>
      <c r="B39" s="475" t="s">
        <v>47</v>
      </c>
      <c r="C39" s="431">
        <v>1000</v>
      </c>
      <c r="D39" s="119">
        <f>+J39</f>
        <v>0</v>
      </c>
      <c r="E39" s="110"/>
      <c r="F39" s="119">
        <f t="shared" si="19"/>
        <v>0</v>
      </c>
      <c r="G39" s="294"/>
      <c r="H39" s="490">
        <f>+F39/C39</f>
        <v>0</v>
      </c>
      <c r="I39" s="290"/>
      <c r="J39" s="119">
        <f t="shared" si="20"/>
        <v>0</v>
      </c>
      <c r="K39" s="290"/>
      <c r="L39" s="290">
        <f t="shared" si="16"/>
        <v>0</v>
      </c>
      <c r="M39" s="354"/>
      <c r="N39" s="353"/>
      <c r="O39" s="431"/>
      <c r="P39" s="119"/>
      <c r="Q39" s="119"/>
      <c r="R39" s="119"/>
      <c r="S39" s="119"/>
      <c r="T39" s="119"/>
      <c r="U39" s="119"/>
      <c r="V39" s="119"/>
      <c r="W39" s="356"/>
      <c r="X39" s="290"/>
      <c r="Y39" s="119"/>
      <c r="Z39" s="119"/>
      <c r="AA39" s="119"/>
      <c r="AB39" s="119"/>
      <c r="AC39" s="119"/>
      <c r="AD39" s="119"/>
      <c r="AE39" s="355"/>
      <c r="AF39" s="356"/>
    </row>
    <row r="40" spans="1:103" s="351" customFormat="1" ht="15.75" x14ac:dyDescent="0.25">
      <c r="A40" s="345" t="s">
        <v>2</v>
      </c>
      <c r="B40" s="474" t="s">
        <v>728</v>
      </c>
      <c r="C40" s="430">
        <f>SUM(C41:C46)</f>
        <v>30782.1</v>
      </c>
      <c r="D40" s="455">
        <f>SUM(D41:D46)</f>
        <v>32100</v>
      </c>
      <c r="E40" s="274">
        <f>SUM(E41:E46)</f>
        <v>32844.69</v>
      </c>
      <c r="F40" s="455">
        <f>SUM(F41:F46)</f>
        <v>28091</v>
      </c>
      <c r="G40" s="292">
        <f t="shared" si="3"/>
        <v>1.1427147484959597</v>
      </c>
      <c r="H40" s="489">
        <f>+F40/C40</f>
        <v>0.91257581516530717</v>
      </c>
      <c r="I40" s="349"/>
      <c r="J40" s="347">
        <f>SUM(J41:J46)</f>
        <v>27571</v>
      </c>
      <c r="K40" s="291"/>
      <c r="L40" s="291">
        <f t="shared" si="16"/>
        <v>28091</v>
      </c>
      <c r="M40" s="348">
        <f>+J40/L40</f>
        <v>0.98148873304617135</v>
      </c>
      <c r="N40" s="392"/>
      <c r="O40" s="430">
        <f>SUM(O41:O46)</f>
        <v>3600</v>
      </c>
      <c r="P40" s="455">
        <f t="shared" ref="P40:AF40" si="21">SUM(P41:P46)</f>
        <v>1000</v>
      </c>
      <c r="Q40" s="455">
        <f t="shared" si="21"/>
        <v>2080</v>
      </c>
      <c r="R40" s="455">
        <f t="shared" si="21"/>
        <v>0</v>
      </c>
      <c r="S40" s="455">
        <f t="shared" si="21"/>
        <v>0</v>
      </c>
      <c r="T40" s="455">
        <f t="shared" si="21"/>
        <v>8891</v>
      </c>
      <c r="U40" s="455">
        <f t="shared" si="21"/>
        <v>7500</v>
      </c>
      <c r="V40" s="455">
        <f t="shared" si="21"/>
        <v>4500</v>
      </c>
      <c r="W40" s="350">
        <f t="shared" si="21"/>
        <v>0</v>
      </c>
      <c r="X40" s="349">
        <f t="shared" si="21"/>
        <v>3600</v>
      </c>
      <c r="Y40" s="455">
        <f t="shared" si="21"/>
        <v>1000</v>
      </c>
      <c r="Z40" s="455">
        <f t="shared" si="21"/>
        <v>2600</v>
      </c>
      <c r="AA40" s="455">
        <f t="shared" si="21"/>
        <v>0</v>
      </c>
      <c r="AB40" s="455">
        <f t="shared" si="21"/>
        <v>0</v>
      </c>
      <c r="AC40" s="455">
        <f t="shared" si="21"/>
        <v>8891</v>
      </c>
      <c r="AD40" s="455">
        <f t="shared" si="21"/>
        <v>7500</v>
      </c>
      <c r="AE40" s="455">
        <f t="shared" si="21"/>
        <v>4500</v>
      </c>
      <c r="AF40" s="350">
        <f t="shared" si="21"/>
        <v>0</v>
      </c>
      <c r="AG40" s="293"/>
      <c r="AH40" s="293"/>
      <c r="AI40" s="293"/>
      <c r="AJ40" s="293"/>
      <c r="AK40" s="293"/>
      <c r="AL40" s="293"/>
      <c r="AM40" s="293"/>
      <c r="AN40" s="293"/>
      <c r="AO40" s="293"/>
      <c r="AP40" s="293"/>
      <c r="AQ40" s="293"/>
      <c r="AR40" s="293"/>
      <c r="AS40" s="293"/>
      <c r="AT40" s="293"/>
      <c r="AU40" s="293"/>
      <c r="AV40" s="293"/>
      <c r="AW40" s="293"/>
      <c r="AX40" s="293"/>
      <c r="AY40" s="293"/>
      <c r="AZ40" s="293"/>
      <c r="BA40" s="293"/>
      <c r="BB40" s="293"/>
      <c r="BC40" s="293"/>
      <c r="BD40" s="293"/>
      <c r="BE40" s="293"/>
      <c r="BF40" s="293"/>
      <c r="BG40" s="293"/>
      <c r="BH40" s="293"/>
      <c r="BI40" s="293"/>
      <c r="BJ40" s="293"/>
      <c r="BK40" s="293"/>
      <c r="BL40" s="293"/>
      <c r="BM40" s="293"/>
      <c r="BN40" s="293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  <c r="CA40" s="293"/>
      <c r="CB40" s="293"/>
      <c r="CC40" s="293"/>
      <c r="CD40" s="293"/>
      <c r="CE40" s="293"/>
      <c r="CF40" s="293"/>
      <c r="CG40" s="293"/>
      <c r="CH40" s="293"/>
      <c r="CI40" s="293"/>
      <c r="CJ40" s="293"/>
      <c r="CK40" s="293"/>
      <c r="CL40" s="293"/>
      <c r="CM40" s="293"/>
      <c r="CN40" s="293"/>
      <c r="CO40" s="293"/>
      <c r="CP40" s="293"/>
      <c r="CQ40" s="293"/>
      <c r="CR40" s="293"/>
      <c r="CS40" s="293"/>
      <c r="CT40" s="293"/>
      <c r="CU40" s="293"/>
      <c r="CV40" s="293"/>
      <c r="CW40" s="293"/>
      <c r="CX40" s="293"/>
      <c r="CY40" s="293"/>
    </row>
    <row r="41" spans="1:103" outlineLevel="1" x14ac:dyDescent="0.25">
      <c r="A41" s="352" t="s">
        <v>10</v>
      </c>
      <c r="B41" s="475" t="s">
        <v>82</v>
      </c>
      <c r="C41" s="431">
        <v>3607.19</v>
      </c>
      <c r="D41" s="119">
        <v>3100</v>
      </c>
      <c r="E41" s="110">
        <v>4476.25</v>
      </c>
      <c r="F41" s="119">
        <f t="shared" ref="F41:F46" si="22">+L41</f>
        <v>3100</v>
      </c>
      <c r="G41" s="294">
        <f t="shared" si="3"/>
        <v>1</v>
      </c>
      <c r="H41" s="490">
        <f>+F41/C41</f>
        <v>0.85939470890083414</v>
      </c>
      <c r="I41" s="290"/>
      <c r="J41" s="119">
        <f t="shared" si="20"/>
        <v>2580</v>
      </c>
      <c r="K41" s="290"/>
      <c r="L41" s="290">
        <f t="shared" si="16"/>
        <v>3100</v>
      </c>
      <c r="M41" s="354">
        <f>+J41/L41</f>
        <v>0.83225806451612905</v>
      </c>
      <c r="N41" s="353"/>
      <c r="O41" s="431"/>
      <c r="P41" s="119"/>
      <c r="Q41" s="119">
        <f>+Z41*0.8</f>
        <v>2080</v>
      </c>
      <c r="R41" s="119"/>
      <c r="S41" s="119"/>
      <c r="T41" s="119"/>
      <c r="U41" s="119">
        <f>+AD41</f>
        <v>500</v>
      </c>
      <c r="V41" s="119"/>
      <c r="W41" s="356"/>
      <c r="X41" s="290"/>
      <c r="Y41" s="119"/>
      <c r="Z41" s="119">
        <v>2600</v>
      </c>
      <c r="AA41" s="119"/>
      <c r="AB41" s="119"/>
      <c r="AC41" s="119">
        <v>0</v>
      </c>
      <c r="AD41" s="119">
        <v>500</v>
      </c>
      <c r="AE41" s="355"/>
      <c r="AF41" s="356"/>
    </row>
    <row r="42" spans="1:103" outlineLevel="1" x14ac:dyDescent="0.25">
      <c r="A42" s="352" t="s">
        <v>11</v>
      </c>
      <c r="B42" s="475" t="s">
        <v>514</v>
      </c>
      <c r="C42" s="431">
        <v>16157.64</v>
      </c>
      <c r="D42" s="119">
        <v>14000</v>
      </c>
      <c r="E42" s="110">
        <v>13543.55</v>
      </c>
      <c r="F42" s="119">
        <v>15960</v>
      </c>
      <c r="G42" s="294">
        <f t="shared" si="3"/>
        <v>0.8771929824561403</v>
      </c>
      <c r="H42" s="490">
        <f>+F42/C42</f>
        <v>0.98776801562604444</v>
      </c>
      <c r="I42" s="290"/>
      <c r="J42" s="119">
        <f t="shared" si="20"/>
        <v>15960</v>
      </c>
      <c r="K42" s="290"/>
      <c r="L42" s="290">
        <f t="shared" si="16"/>
        <v>15960</v>
      </c>
      <c r="M42" s="354">
        <f>+J42/L42</f>
        <v>1</v>
      </c>
      <c r="N42" s="353"/>
      <c r="O42" s="431"/>
      <c r="P42" s="119">
        <v>1000</v>
      </c>
      <c r="Q42" s="119"/>
      <c r="R42" s="119"/>
      <c r="S42" s="119"/>
      <c r="T42" s="119">
        <f>+AC42</f>
        <v>3460</v>
      </c>
      <c r="U42" s="119">
        <f>+AD42-3500+2500+1000</f>
        <v>7000</v>
      </c>
      <c r="V42" s="119">
        <v>4500</v>
      </c>
      <c r="W42" s="356"/>
      <c r="X42" s="290"/>
      <c r="Y42" s="119">
        <v>1000</v>
      </c>
      <c r="Z42" s="119"/>
      <c r="AA42" s="119"/>
      <c r="AB42" s="119"/>
      <c r="AC42" s="119">
        <f>10460-7000</f>
        <v>3460</v>
      </c>
      <c r="AD42" s="119">
        <v>7000</v>
      </c>
      <c r="AE42" s="355">
        <v>4500</v>
      </c>
      <c r="AF42" s="356"/>
    </row>
    <row r="43" spans="1:103" outlineLevel="1" x14ac:dyDescent="0.25">
      <c r="A43" s="357" t="s">
        <v>12</v>
      </c>
      <c r="B43" s="476" t="s">
        <v>740</v>
      </c>
      <c r="C43" s="431">
        <v>0</v>
      </c>
      <c r="D43" s="119">
        <f>+J43</f>
        <v>0</v>
      </c>
      <c r="E43" s="110"/>
      <c r="F43" s="119">
        <f t="shared" si="22"/>
        <v>0</v>
      </c>
      <c r="G43" s="294"/>
      <c r="H43" s="490"/>
      <c r="I43" s="290"/>
      <c r="J43" s="119">
        <f t="shared" si="20"/>
        <v>0</v>
      </c>
      <c r="K43" s="290"/>
      <c r="L43" s="290">
        <f t="shared" si="16"/>
        <v>0</v>
      </c>
      <c r="M43" s="354"/>
      <c r="N43" s="353"/>
      <c r="O43" s="431"/>
      <c r="P43" s="119"/>
      <c r="Q43" s="119"/>
      <c r="R43" s="119"/>
      <c r="S43" s="119"/>
      <c r="T43" s="119"/>
      <c r="U43" s="119"/>
      <c r="V43" s="119"/>
      <c r="W43" s="356"/>
      <c r="X43" s="290"/>
      <c r="Y43" s="119"/>
      <c r="Z43" s="119"/>
      <c r="AA43" s="119"/>
      <c r="AB43" s="119"/>
      <c r="AC43" s="119"/>
      <c r="AD43" s="119"/>
      <c r="AE43" s="355"/>
      <c r="AF43" s="356"/>
    </row>
    <row r="44" spans="1:103" outlineLevel="1" x14ac:dyDescent="0.25">
      <c r="A44" s="352" t="s">
        <v>13</v>
      </c>
      <c r="B44" s="475" t="s">
        <v>1320</v>
      </c>
      <c r="C44" s="431">
        <v>396.77</v>
      </c>
      <c r="D44" s="119">
        <f>+J44</f>
        <v>1000</v>
      </c>
      <c r="E44" s="110">
        <v>478.39</v>
      </c>
      <c r="F44" s="119">
        <f t="shared" si="22"/>
        <v>1000</v>
      </c>
      <c r="G44" s="294">
        <f t="shared" si="3"/>
        <v>1</v>
      </c>
      <c r="H44" s="490">
        <f>+F44/C44</f>
        <v>2.5203518411170203</v>
      </c>
      <c r="I44" s="290"/>
      <c r="J44" s="119">
        <f t="shared" si="20"/>
        <v>1000</v>
      </c>
      <c r="K44" s="290"/>
      <c r="L44" s="290">
        <f t="shared" si="16"/>
        <v>1000</v>
      </c>
      <c r="M44" s="354">
        <f>+J44/L44</f>
        <v>1</v>
      </c>
      <c r="N44" s="353"/>
      <c r="O44" s="431">
        <f>+X44</f>
        <v>1000</v>
      </c>
      <c r="P44" s="119"/>
      <c r="Q44" s="119"/>
      <c r="R44" s="119"/>
      <c r="S44" s="119"/>
      <c r="T44" s="119"/>
      <c r="U44" s="119"/>
      <c r="V44" s="119"/>
      <c r="W44" s="356"/>
      <c r="X44" s="290">
        <v>1000</v>
      </c>
      <c r="Y44" s="119"/>
      <c r="Z44" s="119"/>
      <c r="AA44" s="119"/>
      <c r="AB44" s="119"/>
      <c r="AC44" s="119"/>
      <c r="AD44" s="119"/>
      <c r="AE44" s="355"/>
      <c r="AF44" s="356"/>
    </row>
    <row r="45" spans="1:103" outlineLevel="1" x14ac:dyDescent="0.25">
      <c r="A45" s="352" t="s">
        <v>14</v>
      </c>
      <c r="B45" s="475" t="s">
        <v>989</v>
      </c>
      <c r="C45" s="431">
        <v>10220.5</v>
      </c>
      <c r="D45" s="119">
        <v>14000</v>
      </c>
      <c r="E45" s="110">
        <v>13946.5</v>
      </c>
      <c r="F45" s="119">
        <f t="shared" si="22"/>
        <v>8031</v>
      </c>
      <c r="G45" s="294">
        <f t="shared" si="3"/>
        <v>1.7432449259120906</v>
      </c>
      <c r="H45" s="490">
        <f>+F45/C45</f>
        <v>0.7857736901325767</v>
      </c>
      <c r="I45" s="290"/>
      <c r="J45" s="119">
        <f t="shared" si="20"/>
        <v>8031</v>
      </c>
      <c r="K45" s="290"/>
      <c r="L45" s="290">
        <f t="shared" si="16"/>
        <v>8031</v>
      </c>
      <c r="M45" s="354">
        <f>+J45/L45</f>
        <v>1</v>
      </c>
      <c r="N45" s="353"/>
      <c r="O45" s="431">
        <f>+X45</f>
        <v>2600</v>
      </c>
      <c r="P45" s="119"/>
      <c r="Q45" s="119"/>
      <c r="R45" s="119"/>
      <c r="S45" s="119"/>
      <c r="T45" s="119">
        <v>5431</v>
      </c>
      <c r="U45" s="119"/>
      <c r="V45" s="119"/>
      <c r="W45" s="356"/>
      <c r="X45" s="290">
        <v>2600</v>
      </c>
      <c r="Y45" s="119"/>
      <c r="Z45" s="119"/>
      <c r="AA45" s="119"/>
      <c r="AB45" s="119"/>
      <c r="AC45" s="119">
        <v>5431</v>
      </c>
      <c r="AD45" s="119"/>
      <c r="AE45" s="355"/>
      <c r="AF45" s="356"/>
    </row>
    <row r="46" spans="1:103" outlineLevel="1" x14ac:dyDescent="0.25">
      <c r="A46" s="352" t="s">
        <v>1031</v>
      </c>
      <c r="B46" s="475" t="s">
        <v>47</v>
      </c>
      <c r="C46" s="431">
        <v>400</v>
      </c>
      <c r="D46" s="119"/>
      <c r="E46" s="110">
        <v>400</v>
      </c>
      <c r="F46" s="119">
        <f t="shared" si="22"/>
        <v>0</v>
      </c>
      <c r="G46" s="294"/>
      <c r="H46" s="490">
        <f>+F46/C46</f>
        <v>0</v>
      </c>
      <c r="I46" s="290"/>
      <c r="J46" s="119">
        <f t="shared" si="20"/>
        <v>0</v>
      </c>
      <c r="K46" s="290"/>
      <c r="L46" s="290">
        <f t="shared" si="16"/>
        <v>0</v>
      </c>
      <c r="M46" s="354"/>
      <c r="N46" s="353"/>
      <c r="O46" s="431"/>
      <c r="P46" s="119"/>
      <c r="Q46" s="119"/>
      <c r="R46" s="119"/>
      <c r="S46" s="119"/>
      <c r="T46" s="119"/>
      <c r="U46" s="119"/>
      <c r="V46" s="119"/>
      <c r="W46" s="356"/>
      <c r="X46" s="290"/>
      <c r="Y46" s="119"/>
      <c r="Z46" s="119"/>
      <c r="AA46" s="119"/>
      <c r="AB46" s="119"/>
      <c r="AC46" s="119"/>
      <c r="AD46" s="119"/>
      <c r="AE46" s="355"/>
      <c r="AF46" s="356"/>
    </row>
    <row r="47" spans="1:103" s="351" customFormat="1" ht="15.75" x14ac:dyDescent="0.25">
      <c r="A47" s="345" t="s">
        <v>26</v>
      </c>
      <c r="B47" s="474" t="s">
        <v>322</v>
      </c>
      <c r="C47" s="430">
        <f>SUM(C48:C53)</f>
        <v>11552.390000000001</v>
      </c>
      <c r="D47" s="455">
        <f>SUM(D48:D53)</f>
        <v>18892</v>
      </c>
      <c r="E47" s="274">
        <f>SUM(E48:E53)</f>
        <v>15998.35</v>
      </c>
      <c r="F47" s="455">
        <f>SUM(F48:F53)</f>
        <v>16892</v>
      </c>
      <c r="G47" s="292">
        <f t="shared" si="3"/>
        <v>1.1183992422448497</v>
      </c>
      <c r="H47" s="489">
        <f>+F47/C47</f>
        <v>1.4622082530108487</v>
      </c>
      <c r="I47" s="349"/>
      <c r="J47" s="347">
        <f>SUM(J48:J53)</f>
        <v>17892</v>
      </c>
      <c r="K47" s="291"/>
      <c r="L47" s="291">
        <f t="shared" si="16"/>
        <v>16892</v>
      </c>
      <c r="M47" s="348">
        <f t="shared" ref="M47:M57" si="23">+J47/L47</f>
        <v>1.0591996211224248</v>
      </c>
      <c r="N47" s="392"/>
      <c r="O47" s="430">
        <f>+SUM(O48:O53)</f>
        <v>2250</v>
      </c>
      <c r="P47" s="455">
        <f t="shared" ref="P47:AF47" si="24">SUM(P48:P53)</f>
        <v>0</v>
      </c>
      <c r="Q47" s="455">
        <f t="shared" si="24"/>
        <v>0</v>
      </c>
      <c r="R47" s="455">
        <f t="shared" si="24"/>
        <v>0</v>
      </c>
      <c r="S47" s="455">
        <f t="shared" si="24"/>
        <v>0</v>
      </c>
      <c r="T47" s="455">
        <f t="shared" si="24"/>
        <v>15642</v>
      </c>
      <c r="U47" s="455">
        <f t="shared" si="24"/>
        <v>0</v>
      </c>
      <c r="V47" s="455">
        <f t="shared" si="24"/>
        <v>0</v>
      </c>
      <c r="W47" s="350">
        <f t="shared" si="24"/>
        <v>0</v>
      </c>
      <c r="X47" s="349">
        <f t="shared" si="24"/>
        <v>2250</v>
      </c>
      <c r="Y47" s="455">
        <f t="shared" si="24"/>
        <v>0</v>
      </c>
      <c r="Z47" s="455">
        <f t="shared" si="24"/>
        <v>0</v>
      </c>
      <c r="AA47" s="455">
        <f t="shared" si="24"/>
        <v>0</v>
      </c>
      <c r="AB47" s="455">
        <f t="shared" si="24"/>
        <v>0</v>
      </c>
      <c r="AC47" s="455">
        <f t="shared" si="24"/>
        <v>14642</v>
      </c>
      <c r="AD47" s="455">
        <f t="shared" si="24"/>
        <v>0</v>
      </c>
      <c r="AE47" s="455">
        <f t="shared" si="24"/>
        <v>0</v>
      </c>
      <c r="AF47" s="350">
        <f t="shared" si="24"/>
        <v>0</v>
      </c>
      <c r="AG47" s="293"/>
      <c r="AH47" s="293"/>
      <c r="AI47" s="293"/>
      <c r="AJ47" s="293"/>
      <c r="AK47" s="293"/>
      <c r="AL47" s="293"/>
      <c r="AM47" s="293"/>
      <c r="AN47" s="293"/>
      <c r="AO47" s="293"/>
      <c r="AP47" s="293"/>
      <c r="AQ47" s="293"/>
      <c r="AR47" s="293"/>
      <c r="AS47" s="293"/>
      <c r="AT47" s="293"/>
      <c r="AU47" s="293"/>
      <c r="AV47" s="293"/>
      <c r="AW47" s="293"/>
      <c r="AX47" s="293"/>
      <c r="AY47" s="293"/>
      <c r="AZ47" s="293"/>
      <c r="BA47" s="293"/>
      <c r="BB47" s="293"/>
      <c r="BC47" s="293"/>
      <c r="BD47" s="293"/>
      <c r="BE47" s="293"/>
      <c r="BF47" s="293"/>
      <c r="BG47" s="293"/>
      <c r="BH47" s="293"/>
      <c r="BI47" s="293"/>
      <c r="BJ47" s="293"/>
      <c r="BK47" s="293"/>
      <c r="BL47" s="293"/>
      <c r="BM47" s="293"/>
      <c r="BN47" s="293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  <c r="CA47" s="293"/>
      <c r="CB47" s="293"/>
      <c r="CC47" s="293"/>
      <c r="CD47" s="293"/>
      <c r="CE47" s="293"/>
      <c r="CF47" s="293"/>
      <c r="CG47" s="293"/>
      <c r="CH47" s="293"/>
      <c r="CI47" s="293"/>
      <c r="CJ47" s="293"/>
      <c r="CK47" s="293"/>
      <c r="CL47" s="293"/>
      <c r="CM47" s="293"/>
      <c r="CN47" s="293"/>
      <c r="CO47" s="293"/>
      <c r="CP47" s="293"/>
      <c r="CQ47" s="293"/>
      <c r="CR47" s="293"/>
      <c r="CS47" s="293"/>
      <c r="CT47" s="293"/>
      <c r="CU47" s="293"/>
      <c r="CV47" s="293"/>
      <c r="CW47" s="293"/>
      <c r="CX47" s="293"/>
      <c r="CY47" s="293"/>
    </row>
    <row r="48" spans="1:103" outlineLevel="1" x14ac:dyDescent="0.25">
      <c r="A48" s="358" t="s">
        <v>715</v>
      </c>
      <c r="B48" s="475" t="s">
        <v>1293</v>
      </c>
      <c r="C48" s="431">
        <f>950.47+50</f>
        <v>1000.47</v>
      </c>
      <c r="D48" s="119">
        <f>+J48</f>
        <v>9892</v>
      </c>
      <c r="E48" s="110">
        <v>9892.2999999999993</v>
      </c>
      <c r="F48" s="119">
        <v>9892</v>
      </c>
      <c r="G48" s="294">
        <f t="shared" si="3"/>
        <v>1</v>
      </c>
      <c r="H48" s="490">
        <f>+F48/C48</f>
        <v>9.887352944116266</v>
      </c>
      <c r="I48" s="290"/>
      <c r="J48" s="119">
        <f t="shared" si="20"/>
        <v>9892</v>
      </c>
      <c r="K48" s="290"/>
      <c r="L48" s="290">
        <f t="shared" si="16"/>
        <v>9892</v>
      </c>
      <c r="M48" s="354">
        <f t="shared" si="23"/>
        <v>1</v>
      </c>
      <c r="N48" s="353"/>
      <c r="O48" s="431"/>
      <c r="P48" s="119"/>
      <c r="Q48" s="119"/>
      <c r="R48" s="119"/>
      <c r="S48" s="119"/>
      <c r="T48" s="119">
        <f>+AC48</f>
        <v>9892</v>
      </c>
      <c r="U48" s="119"/>
      <c r="V48" s="119"/>
      <c r="W48" s="356"/>
      <c r="X48" s="290"/>
      <c r="Y48" s="119"/>
      <c r="Z48" s="119"/>
      <c r="AA48" s="119"/>
      <c r="AB48" s="119"/>
      <c r="AC48" s="119">
        <v>9892</v>
      </c>
      <c r="AD48" s="119"/>
      <c r="AE48" s="355"/>
      <c r="AF48" s="356"/>
    </row>
    <row r="49" spans="1:103" outlineLevel="1" x14ac:dyDescent="0.25">
      <c r="A49" s="352" t="s">
        <v>716</v>
      </c>
      <c r="B49" s="475" t="s">
        <v>732</v>
      </c>
      <c r="C49" s="431"/>
      <c r="D49" s="119">
        <f>+J49</f>
        <v>500</v>
      </c>
      <c r="E49" s="110"/>
      <c r="F49" s="119">
        <f>+L49</f>
        <v>500</v>
      </c>
      <c r="G49" s="294">
        <f t="shared" si="3"/>
        <v>1</v>
      </c>
      <c r="H49" s="490"/>
      <c r="I49" s="290"/>
      <c r="J49" s="119">
        <f t="shared" si="20"/>
        <v>500</v>
      </c>
      <c r="K49" s="290"/>
      <c r="L49" s="290">
        <f t="shared" si="16"/>
        <v>500</v>
      </c>
      <c r="M49" s="354">
        <f t="shared" si="23"/>
        <v>1</v>
      </c>
      <c r="N49" s="353"/>
      <c r="O49" s="431">
        <f>+X49</f>
        <v>500</v>
      </c>
      <c r="P49" s="119"/>
      <c r="Q49" s="119"/>
      <c r="R49" s="119"/>
      <c r="S49" s="119"/>
      <c r="T49" s="119">
        <f>+AC49</f>
        <v>0</v>
      </c>
      <c r="U49" s="119"/>
      <c r="V49" s="119"/>
      <c r="W49" s="356"/>
      <c r="X49" s="290">
        <v>500</v>
      </c>
      <c r="Y49" s="119"/>
      <c r="Z49" s="119"/>
      <c r="AA49" s="119"/>
      <c r="AB49" s="119"/>
      <c r="AC49" s="119"/>
      <c r="AD49" s="119"/>
      <c r="AE49" s="355"/>
      <c r="AF49" s="356"/>
    </row>
    <row r="50" spans="1:103" outlineLevel="1" x14ac:dyDescent="0.25">
      <c r="A50" s="352" t="s">
        <v>717</v>
      </c>
      <c r="B50" s="475" t="s">
        <v>733</v>
      </c>
      <c r="C50" s="431">
        <v>2236.21</v>
      </c>
      <c r="D50" s="119">
        <f>+J50</f>
        <v>1000</v>
      </c>
      <c r="E50" s="110">
        <v>1103</v>
      </c>
      <c r="F50" s="119">
        <f>+L50</f>
        <v>1000</v>
      </c>
      <c r="G50" s="294">
        <f t="shared" si="3"/>
        <v>1</v>
      </c>
      <c r="H50" s="490">
        <f t="shared" ref="H50:H61" si="25">+F50/C50</f>
        <v>0.44718519280389585</v>
      </c>
      <c r="I50" s="290"/>
      <c r="J50" s="119">
        <f t="shared" si="20"/>
        <v>1000</v>
      </c>
      <c r="K50" s="290"/>
      <c r="L50" s="290">
        <f t="shared" si="16"/>
        <v>1000</v>
      </c>
      <c r="M50" s="354">
        <f t="shared" si="23"/>
        <v>1</v>
      </c>
      <c r="N50" s="353"/>
      <c r="O50" s="431">
        <f>+X50</f>
        <v>1000</v>
      </c>
      <c r="P50" s="119"/>
      <c r="Q50" s="119"/>
      <c r="R50" s="119"/>
      <c r="S50" s="119"/>
      <c r="T50" s="119">
        <f>+AC50</f>
        <v>0</v>
      </c>
      <c r="U50" s="119"/>
      <c r="V50" s="119"/>
      <c r="W50" s="356"/>
      <c r="X50" s="290">
        <v>1000</v>
      </c>
      <c r="Y50" s="119"/>
      <c r="Z50" s="119"/>
      <c r="AA50" s="119"/>
      <c r="AB50" s="119"/>
      <c r="AC50" s="119"/>
      <c r="AD50" s="119"/>
      <c r="AE50" s="355"/>
      <c r="AF50" s="356"/>
    </row>
    <row r="51" spans="1:103" outlineLevel="1" x14ac:dyDescent="0.25">
      <c r="A51" s="352" t="s">
        <v>718</v>
      </c>
      <c r="B51" s="475" t="s">
        <v>734</v>
      </c>
      <c r="C51" s="431">
        <v>1516.44</v>
      </c>
      <c r="D51" s="119">
        <f>+J51</f>
        <v>500</v>
      </c>
      <c r="E51" s="110">
        <v>371.86</v>
      </c>
      <c r="F51" s="119">
        <f>+L51</f>
        <v>500</v>
      </c>
      <c r="G51" s="294">
        <f t="shared" si="3"/>
        <v>1</v>
      </c>
      <c r="H51" s="490">
        <f t="shared" si="25"/>
        <v>0.32971960644667775</v>
      </c>
      <c r="I51" s="290"/>
      <c r="J51" s="119">
        <f t="shared" si="20"/>
        <v>500</v>
      </c>
      <c r="K51" s="290"/>
      <c r="L51" s="290">
        <f t="shared" si="16"/>
        <v>500</v>
      </c>
      <c r="M51" s="354">
        <f t="shared" si="23"/>
        <v>1</v>
      </c>
      <c r="N51" s="353"/>
      <c r="O51" s="431">
        <f>+X51</f>
        <v>500</v>
      </c>
      <c r="P51" s="119"/>
      <c r="Q51" s="119"/>
      <c r="R51" s="119"/>
      <c r="S51" s="119"/>
      <c r="T51" s="119">
        <f>+AC51</f>
        <v>0</v>
      </c>
      <c r="U51" s="119"/>
      <c r="V51" s="119"/>
      <c r="W51" s="356"/>
      <c r="X51" s="290">
        <v>500</v>
      </c>
      <c r="Y51" s="119"/>
      <c r="Z51" s="119"/>
      <c r="AA51" s="119"/>
      <c r="AB51" s="119"/>
      <c r="AC51" s="119"/>
      <c r="AD51" s="119"/>
      <c r="AE51" s="355"/>
      <c r="AF51" s="356"/>
    </row>
    <row r="52" spans="1:103" outlineLevel="1" x14ac:dyDescent="0.25">
      <c r="A52" s="352" t="s">
        <v>719</v>
      </c>
      <c r="B52" s="475" t="s">
        <v>1347</v>
      </c>
      <c r="C52" s="431">
        <v>5000</v>
      </c>
      <c r="D52" s="119">
        <f>+J52</f>
        <v>6000</v>
      </c>
      <c r="E52" s="110">
        <v>4609.7700000000004</v>
      </c>
      <c r="F52" s="119">
        <v>4000</v>
      </c>
      <c r="G52" s="294">
        <f t="shared" si="3"/>
        <v>1.5</v>
      </c>
      <c r="H52" s="490">
        <f t="shared" si="25"/>
        <v>0.8</v>
      </c>
      <c r="I52" s="290"/>
      <c r="J52" s="119">
        <f t="shared" si="20"/>
        <v>6000</v>
      </c>
      <c r="K52" s="290"/>
      <c r="L52" s="290">
        <f t="shared" si="16"/>
        <v>4000</v>
      </c>
      <c r="M52" s="354">
        <f t="shared" si="23"/>
        <v>1.5</v>
      </c>
      <c r="N52" s="353"/>
      <c r="O52" s="431">
        <f>+X52</f>
        <v>250</v>
      </c>
      <c r="P52" s="119"/>
      <c r="Q52" s="119"/>
      <c r="R52" s="119"/>
      <c r="S52" s="119"/>
      <c r="T52" s="119">
        <f>+AC52+2000</f>
        <v>5750</v>
      </c>
      <c r="U52" s="119"/>
      <c r="V52" s="119"/>
      <c r="W52" s="356"/>
      <c r="X52" s="290">
        <v>250</v>
      </c>
      <c r="Y52" s="119"/>
      <c r="Z52" s="119"/>
      <c r="AA52" s="119"/>
      <c r="AB52" s="119"/>
      <c r="AC52" s="119">
        <v>3750</v>
      </c>
      <c r="AD52" s="119"/>
      <c r="AE52" s="355"/>
      <c r="AF52" s="356"/>
    </row>
    <row r="53" spans="1:103" outlineLevel="1" x14ac:dyDescent="0.25">
      <c r="A53" s="352" t="s">
        <v>1032</v>
      </c>
      <c r="B53" s="475" t="s">
        <v>1353</v>
      </c>
      <c r="C53" s="431">
        <v>1799.27</v>
      </c>
      <c r="D53" s="119">
        <v>1000</v>
      </c>
      <c r="E53" s="110">
        <v>21.42</v>
      </c>
      <c r="F53" s="119">
        <f>+L53</f>
        <v>1000</v>
      </c>
      <c r="G53" s="294">
        <f t="shared" si="3"/>
        <v>1</v>
      </c>
      <c r="H53" s="490">
        <f t="shared" si="25"/>
        <v>0.55578095560977503</v>
      </c>
      <c r="I53" s="290"/>
      <c r="J53" s="119">
        <f t="shared" si="20"/>
        <v>0</v>
      </c>
      <c r="K53" s="290"/>
      <c r="L53" s="290">
        <f t="shared" si="16"/>
        <v>1000</v>
      </c>
      <c r="M53" s="354">
        <f t="shared" si="23"/>
        <v>0</v>
      </c>
      <c r="N53" s="353"/>
      <c r="O53" s="431"/>
      <c r="P53" s="119"/>
      <c r="Q53" s="119"/>
      <c r="R53" s="119"/>
      <c r="S53" s="119"/>
      <c r="T53" s="119"/>
      <c r="U53" s="119"/>
      <c r="V53" s="119"/>
      <c r="W53" s="356"/>
      <c r="X53" s="290"/>
      <c r="Y53" s="119"/>
      <c r="Z53" s="119"/>
      <c r="AA53" s="119"/>
      <c r="AB53" s="119"/>
      <c r="AC53" s="119">
        <v>1000</v>
      </c>
      <c r="AD53" s="119"/>
      <c r="AE53" s="355"/>
      <c r="AF53" s="356"/>
    </row>
    <row r="54" spans="1:103" s="351" customFormat="1" ht="15.75" x14ac:dyDescent="0.25">
      <c r="A54" s="345" t="s">
        <v>720</v>
      </c>
      <c r="B54" s="474" t="s">
        <v>735</v>
      </c>
      <c r="C54" s="430">
        <f>SUM(C55:C58)</f>
        <v>4814.3499999999995</v>
      </c>
      <c r="D54" s="455">
        <f>SUM(D55:D58)</f>
        <v>4050</v>
      </c>
      <c r="E54" s="274">
        <f>SUM(E55:E58)</f>
        <v>2489.8599999999997</v>
      </c>
      <c r="F54" s="455">
        <f>SUM(F55:F58)</f>
        <v>4050</v>
      </c>
      <c r="G54" s="292">
        <f t="shared" si="3"/>
        <v>1</v>
      </c>
      <c r="H54" s="489">
        <f t="shared" si="25"/>
        <v>0.84123505769210805</v>
      </c>
      <c r="I54" s="349"/>
      <c r="J54" s="347">
        <f>SUM(J55:J58)</f>
        <v>4050</v>
      </c>
      <c r="K54" s="291"/>
      <c r="L54" s="291">
        <f t="shared" si="16"/>
        <v>4050</v>
      </c>
      <c r="M54" s="348">
        <f t="shared" si="23"/>
        <v>1</v>
      </c>
      <c r="N54" s="392"/>
      <c r="O54" s="430">
        <f>SUM(O55:O58)</f>
        <v>4050</v>
      </c>
      <c r="P54" s="455">
        <f t="shared" ref="P54:W54" si="26">SUM(P55:P58)</f>
        <v>0</v>
      </c>
      <c r="Q54" s="455">
        <f t="shared" si="26"/>
        <v>0</v>
      </c>
      <c r="R54" s="455">
        <f t="shared" si="26"/>
        <v>0</v>
      </c>
      <c r="S54" s="455">
        <f t="shared" si="26"/>
        <v>0</v>
      </c>
      <c r="T54" s="455">
        <f t="shared" si="26"/>
        <v>0</v>
      </c>
      <c r="U54" s="455">
        <f t="shared" si="26"/>
        <v>0</v>
      </c>
      <c r="V54" s="455">
        <f t="shared" si="26"/>
        <v>0</v>
      </c>
      <c r="W54" s="350">
        <f t="shared" si="26"/>
        <v>0</v>
      </c>
      <c r="X54" s="349">
        <f t="shared" ref="X54:AF54" si="27">SUM(X55:X58)</f>
        <v>4050</v>
      </c>
      <c r="Y54" s="455">
        <f t="shared" si="27"/>
        <v>0</v>
      </c>
      <c r="Z54" s="455">
        <f t="shared" si="27"/>
        <v>0</v>
      </c>
      <c r="AA54" s="455">
        <f t="shared" si="27"/>
        <v>0</v>
      </c>
      <c r="AB54" s="455">
        <f t="shared" si="27"/>
        <v>0</v>
      </c>
      <c r="AC54" s="455">
        <f t="shared" si="27"/>
        <v>0</v>
      </c>
      <c r="AD54" s="455">
        <f t="shared" si="27"/>
        <v>0</v>
      </c>
      <c r="AE54" s="455">
        <f t="shared" si="27"/>
        <v>0</v>
      </c>
      <c r="AF54" s="350">
        <f t="shared" si="27"/>
        <v>0</v>
      </c>
      <c r="AG54" s="293"/>
      <c r="AH54" s="293"/>
      <c r="AI54" s="293"/>
      <c r="AJ54" s="293"/>
      <c r="AK54" s="293"/>
      <c r="AL54" s="293"/>
      <c r="AM54" s="293"/>
      <c r="AN54" s="293"/>
      <c r="AO54" s="293"/>
      <c r="AP54" s="293"/>
      <c r="AQ54" s="293"/>
      <c r="AR54" s="293"/>
      <c r="AS54" s="293"/>
      <c r="AT54" s="293"/>
      <c r="AU54" s="293"/>
      <c r="AV54" s="293"/>
      <c r="AW54" s="293"/>
      <c r="AX54" s="293"/>
      <c r="AY54" s="293"/>
      <c r="AZ54" s="293"/>
      <c r="BA54" s="293"/>
      <c r="BB54" s="293"/>
      <c r="BC54" s="293"/>
      <c r="BD54" s="293"/>
      <c r="BE54" s="293"/>
      <c r="BF54" s="293"/>
      <c r="BG54" s="293"/>
      <c r="BH54" s="293"/>
      <c r="BI54" s="293"/>
      <c r="BJ54" s="293"/>
      <c r="BK54" s="293"/>
      <c r="BL54" s="293"/>
      <c r="BM54" s="293"/>
      <c r="BN54" s="293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  <c r="CA54" s="293"/>
      <c r="CB54" s="293"/>
      <c r="CC54" s="293"/>
      <c r="CD54" s="293"/>
      <c r="CE54" s="293"/>
      <c r="CF54" s="293"/>
      <c r="CG54" s="293"/>
      <c r="CH54" s="293"/>
      <c r="CI54" s="293"/>
      <c r="CJ54" s="293"/>
      <c r="CK54" s="293"/>
      <c r="CL54" s="293"/>
      <c r="CM54" s="293"/>
      <c r="CN54" s="293"/>
      <c r="CO54" s="293"/>
      <c r="CP54" s="293"/>
      <c r="CQ54" s="293"/>
      <c r="CR54" s="293"/>
      <c r="CS54" s="293"/>
      <c r="CT54" s="293"/>
      <c r="CU54" s="293"/>
      <c r="CV54" s="293"/>
      <c r="CW54" s="293"/>
      <c r="CX54" s="293"/>
      <c r="CY54" s="293"/>
    </row>
    <row r="55" spans="1:103" outlineLevel="1" x14ac:dyDescent="0.25">
      <c r="A55" s="358" t="s">
        <v>722</v>
      </c>
      <c r="B55" s="475" t="s">
        <v>736</v>
      </c>
      <c r="C55" s="431">
        <v>924.76</v>
      </c>
      <c r="D55" s="119">
        <f>+J55</f>
        <v>750</v>
      </c>
      <c r="E55" s="110"/>
      <c r="F55" s="119">
        <f>+L55</f>
        <v>750</v>
      </c>
      <c r="G55" s="294">
        <f t="shared" si="3"/>
        <v>1</v>
      </c>
      <c r="H55" s="490">
        <f t="shared" si="25"/>
        <v>0.81102123794281755</v>
      </c>
      <c r="I55" s="290"/>
      <c r="J55" s="119">
        <f t="shared" si="20"/>
        <v>750</v>
      </c>
      <c r="K55" s="290"/>
      <c r="L55" s="290">
        <f t="shared" si="16"/>
        <v>750</v>
      </c>
      <c r="M55" s="354">
        <f t="shared" si="23"/>
        <v>1</v>
      </c>
      <c r="N55" s="353"/>
      <c r="O55" s="431">
        <f>+X55</f>
        <v>750</v>
      </c>
      <c r="P55" s="119"/>
      <c r="Q55" s="119"/>
      <c r="R55" s="119"/>
      <c r="S55" s="119"/>
      <c r="T55" s="119"/>
      <c r="U55" s="119"/>
      <c r="V55" s="119"/>
      <c r="W55" s="356"/>
      <c r="X55" s="290">
        <v>750</v>
      </c>
      <c r="Y55" s="119"/>
      <c r="Z55" s="119"/>
      <c r="AA55" s="119"/>
      <c r="AB55" s="119"/>
      <c r="AC55" s="119"/>
      <c r="AD55" s="119"/>
      <c r="AE55" s="355"/>
      <c r="AF55" s="356"/>
    </row>
    <row r="56" spans="1:103" outlineLevel="1" x14ac:dyDescent="0.25">
      <c r="A56" s="352" t="s">
        <v>723</v>
      </c>
      <c r="B56" s="475" t="s">
        <v>737</v>
      </c>
      <c r="C56" s="431">
        <f>2616.53+468.1+314.52</f>
        <v>3399.15</v>
      </c>
      <c r="D56" s="119">
        <f>+J56</f>
        <v>2700</v>
      </c>
      <c r="E56" s="110">
        <v>1928.55</v>
      </c>
      <c r="F56" s="119">
        <f>+L56</f>
        <v>2700</v>
      </c>
      <c r="G56" s="294">
        <f t="shared" si="3"/>
        <v>1</v>
      </c>
      <c r="H56" s="490">
        <f t="shared" si="25"/>
        <v>0.79431622611535235</v>
      </c>
      <c r="I56" s="290"/>
      <c r="J56" s="119">
        <f t="shared" si="20"/>
        <v>2700</v>
      </c>
      <c r="K56" s="290"/>
      <c r="L56" s="290">
        <f t="shared" si="16"/>
        <v>2700</v>
      </c>
      <c r="M56" s="354">
        <f t="shared" si="23"/>
        <v>1</v>
      </c>
      <c r="N56" s="353"/>
      <c r="O56" s="431">
        <f>+X56</f>
        <v>2700</v>
      </c>
      <c r="P56" s="119"/>
      <c r="Q56" s="119"/>
      <c r="R56" s="119"/>
      <c r="S56" s="119"/>
      <c r="T56" s="119"/>
      <c r="U56" s="119"/>
      <c r="V56" s="119"/>
      <c r="W56" s="356"/>
      <c r="X56" s="290">
        <v>2700</v>
      </c>
      <c r="Y56" s="119"/>
      <c r="Z56" s="119"/>
      <c r="AA56" s="119"/>
      <c r="AB56" s="119"/>
      <c r="AC56" s="119"/>
      <c r="AD56" s="119"/>
      <c r="AE56" s="355"/>
      <c r="AF56" s="356"/>
    </row>
    <row r="57" spans="1:103" outlineLevel="1" x14ac:dyDescent="0.25">
      <c r="A57" s="352" t="s">
        <v>724</v>
      </c>
      <c r="B57" s="475" t="s">
        <v>738</v>
      </c>
      <c r="C57" s="431">
        <v>456.07</v>
      </c>
      <c r="D57" s="119">
        <f>+J57</f>
        <v>600</v>
      </c>
      <c r="E57" s="110">
        <v>561.30999999999995</v>
      </c>
      <c r="F57" s="119">
        <f>+L57</f>
        <v>600</v>
      </c>
      <c r="G57" s="294">
        <f t="shared" si="3"/>
        <v>1</v>
      </c>
      <c r="H57" s="490">
        <f t="shared" si="25"/>
        <v>1.3155875194597322</v>
      </c>
      <c r="I57" s="290"/>
      <c r="J57" s="119">
        <f t="shared" si="20"/>
        <v>600</v>
      </c>
      <c r="K57" s="290"/>
      <c r="L57" s="290">
        <f t="shared" si="16"/>
        <v>600</v>
      </c>
      <c r="M57" s="354">
        <f t="shared" si="23"/>
        <v>1</v>
      </c>
      <c r="N57" s="353"/>
      <c r="O57" s="431">
        <f>+X57</f>
        <v>600</v>
      </c>
      <c r="P57" s="119"/>
      <c r="Q57" s="119"/>
      <c r="R57" s="119"/>
      <c r="S57" s="119"/>
      <c r="T57" s="119"/>
      <c r="U57" s="119"/>
      <c r="V57" s="119"/>
      <c r="W57" s="356"/>
      <c r="X57" s="290">
        <v>600</v>
      </c>
      <c r="Y57" s="119"/>
      <c r="Z57" s="119"/>
      <c r="AA57" s="119"/>
      <c r="AB57" s="119"/>
      <c r="AC57" s="119"/>
      <c r="AD57" s="119"/>
      <c r="AE57" s="355"/>
      <c r="AF57" s="356"/>
    </row>
    <row r="58" spans="1:103" outlineLevel="1" x14ac:dyDescent="0.25">
      <c r="A58" s="352" t="s">
        <v>1033</v>
      </c>
      <c r="B58" s="475" t="s">
        <v>903</v>
      </c>
      <c r="C58" s="431">
        <v>34.369999999999997</v>
      </c>
      <c r="D58" s="119"/>
      <c r="E58" s="110"/>
      <c r="F58" s="119">
        <f>+L58</f>
        <v>0</v>
      </c>
      <c r="G58" s="294"/>
      <c r="H58" s="490">
        <f t="shared" si="25"/>
        <v>0</v>
      </c>
      <c r="I58" s="290"/>
      <c r="J58" s="119">
        <f t="shared" si="20"/>
        <v>0</v>
      </c>
      <c r="K58" s="290"/>
      <c r="L58" s="290">
        <f t="shared" si="16"/>
        <v>0</v>
      </c>
      <c r="M58" s="354"/>
      <c r="N58" s="353"/>
      <c r="O58" s="431"/>
      <c r="P58" s="119"/>
      <c r="Q58" s="119"/>
      <c r="R58" s="119"/>
      <c r="S58" s="119"/>
      <c r="T58" s="119"/>
      <c r="U58" s="119"/>
      <c r="V58" s="119"/>
      <c r="W58" s="356"/>
      <c r="X58" s="290"/>
      <c r="Y58" s="119"/>
      <c r="Z58" s="119"/>
      <c r="AA58" s="119"/>
      <c r="AB58" s="119"/>
      <c r="AC58" s="119"/>
      <c r="AD58" s="119"/>
      <c r="AE58" s="355"/>
      <c r="AF58" s="356"/>
    </row>
    <row r="59" spans="1:103" s="351" customFormat="1" ht="15.75" x14ac:dyDescent="0.25">
      <c r="A59" s="345" t="s">
        <v>721</v>
      </c>
      <c r="B59" s="474" t="s">
        <v>1374</v>
      </c>
      <c r="C59" s="430">
        <f>+C60+C61+C62</f>
        <v>27810.93</v>
      </c>
      <c r="D59" s="455">
        <f>+D60+D61+D62</f>
        <v>0</v>
      </c>
      <c r="E59" s="274">
        <f>+E60+E61+E62</f>
        <v>27500</v>
      </c>
      <c r="F59" s="455">
        <f>+F60+F61+F62</f>
        <v>30000</v>
      </c>
      <c r="G59" s="292">
        <f t="shared" si="3"/>
        <v>0</v>
      </c>
      <c r="H59" s="489">
        <f t="shared" si="25"/>
        <v>1.0787125781122746</v>
      </c>
      <c r="I59" s="349"/>
      <c r="J59" s="347">
        <f>+J60+J61+J62</f>
        <v>0</v>
      </c>
      <c r="K59" s="291"/>
      <c r="L59" s="291">
        <f t="shared" si="16"/>
        <v>30000</v>
      </c>
      <c r="M59" s="348">
        <f>+J59/L59</f>
        <v>0</v>
      </c>
      <c r="N59" s="392"/>
      <c r="O59" s="430">
        <f>+O60+O61+O62</f>
        <v>0</v>
      </c>
      <c r="P59" s="455">
        <f t="shared" ref="P59:AF59" si="28">SUM(P60:P62)</f>
        <v>0</v>
      </c>
      <c r="Q59" s="455">
        <f t="shared" si="28"/>
        <v>0</v>
      </c>
      <c r="R59" s="455">
        <f t="shared" si="28"/>
        <v>0</v>
      </c>
      <c r="S59" s="455">
        <f t="shared" si="28"/>
        <v>0</v>
      </c>
      <c r="T59" s="455">
        <f t="shared" si="28"/>
        <v>0</v>
      </c>
      <c r="U59" s="455">
        <f t="shared" si="28"/>
        <v>0</v>
      </c>
      <c r="V59" s="455">
        <f t="shared" si="28"/>
        <v>0</v>
      </c>
      <c r="W59" s="350">
        <f t="shared" si="28"/>
        <v>0</v>
      </c>
      <c r="X59" s="349">
        <f t="shared" si="28"/>
        <v>30000</v>
      </c>
      <c r="Y59" s="455">
        <f t="shared" si="28"/>
        <v>0</v>
      </c>
      <c r="Z59" s="455">
        <f t="shared" si="28"/>
        <v>0</v>
      </c>
      <c r="AA59" s="455">
        <f t="shared" si="28"/>
        <v>0</v>
      </c>
      <c r="AB59" s="455">
        <f t="shared" si="28"/>
        <v>0</v>
      </c>
      <c r="AC59" s="455">
        <f t="shared" si="28"/>
        <v>0</v>
      </c>
      <c r="AD59" s="455">
        <f t="shared" si="28"/>
        <v>0</v>
      </c>
      <c r="AE59" s="455">
        <f t="shared" si="28"/>
        <v>0</v>
      </c>
      <c r="AF59" s="350">
        <f t="shared" si="28"/>
        <v>0</v>
      </c>
      <c r="AG59" s="293"/>
      <c r="AH59" s="293"/>
      <c r="AI59" s="293"/>
      <c r="AJ59" s="293"/>
      <c r="AK59" s="293"/>
      <c r="AL59" s="293"/>
      <c r="AM59" s="293"/>
      <c r="AN59" s="293"/>
      <c r="AO59" s="293"/>
      <c r="AP59" s="293"/>
      <c r="AQ59" s="293"/>
      <c r="AR59" s="293"/>
      <c r="AS59" s="293"/>
      <c r="AT59" s="293"/>
      <c r="AU59" s="293"/>
      <c r="AV59" s="293"/>
      <c r="AW59" s="293"/>
      <c r="AX59" s="293"/>
      <c r="AY59" s="293"/>
      <c r="AZ59" s="293"/>
      <c r="BA59" s="293"/>
      <c r="BB59" s="293"/>
      <c r="BC59" s="293"/>
      <c r="BD59" s="293"/>
      <c r="BE59" s="293"/>
      <c r="BF59" s="293"/>
      <c r="BG59" s="293"/>
      <c r="BH59" s="293"/>
      <c r="BI59" s="293"/>
      <c r="BJ59" s="293"/>
      <c r="BK59" s="293"/>
      <c r="BL59" s="293"/>
      <c r="BM59" s="293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  <c r="CA59" s="293"/>
      <c r="CB59" s="293"/>
      <c r="CC59" s="293"/>
      <c r="CD59" s="293"/>
      <c r="CE59" s="293"/>
      <c r="CF59" s="293"/>
      <c r="CG59" s="293"/>
      <c r="CH59" s="293"/>
      <c r="CI59" s="293"/>
      <c r="CJ59" s="293"/>
      <c r="CK59" s="293"/>
      <c r="CL59" s="293"/>
      <c r="CM59" s="293"/>
      <c r="CN59" s="293"/>
      <c r="CO59" s="293"/>
      <c r="CP59" s="293"/>
      <c r="CQ59" s="293"/>
      <c r="CR59" s="293"/>
      <c r="CS59" s="293"/>
      <c r="CT59" s="293"/>
      <c r="CU59" s="293"/>
      <c r="CV59" s="293"/>
      <c r="CW59" s="293"/>
      <c r="CX59" s="293"/>
      <c r="CY59" s="293"/>
    </row>
    <row r="60" spans="1:103" outlineLevel="1" x14ac:dyDescent="0.25">
      <c r="A60" s="358" t="s">
        <v>725</v>
      </c>
      <c r="B60" s="475" t="s">
        <v>156</v>
      </c>
      <c r="C60" s="431">
        <v>26000</v>
      </c>
      <c r="D60" s="119">
        <f>+J60</f>
        <v>0</v>
      </c>
      <c r="E60" s="110">
        <v>27500</v>
      </c>
      <c r="F60" s="119">
        <f>+L60</f>
        <v>28000</v>
      </c>
      <c r="G60" s="294">
        <f t="shared" si="3"/>
        <v>0</v>
      </c>
      <c r="H60" s="490">
        <f t="shared" si="25"/>
        <v>1.0769230769230769</v>
      </c>
      <c r="I60" s="290"/>
      <c r="J60" s="119"/>
      <c r="K60" s="290"/>
      <c r="L60" s="290">
        <f t="shared" si="16"/>
        <v>28000</v>
      </c>
      <c r="M60" s="354">
        <f>+J60/L60</f>
        <v>0</v>
      </c>
      <c r="N60" s="353"/>
      <c r="O60" s="431"/>
      <c r="P60" s="119"/>
      <c r="Q60" s="119"/>
      <c r="R60" s="119"/>
      <c r="S60" s="119"/>
      <c r="T60" s="119"/>
      <c r="U60" s="119"/>
      <c r="V60" s="119"/>
      <c r="W60" s="356"/>
      <c r="X60" s="290">
        <v>28000</v>
      </c>
      <c r="Y60" s="119"/>
      <c r="Z60" s="119"/>
      <c r="AA60" s="119"/>
      <c r="AB60" s="119"/>
      <c r="AC60" s="119"/>
      <c r="AD60" s="119"/>
      <c r="AE60" s="355"/>
      <c r="AF60" s="356"/>
    </row>
    <row r="61" spans="1:103" outlineLevel="1" x14ac:dyDescent="0.25">
      <c r="A61" s="352" t="s">
        <v>726</v>
      </c>
      <c r="B61" s="475" t="s">
        <v>157</v>
      </c>
      <c r="C61" s="431">
        <f>716.26+28.65+1066.02</f>
        <v>1810.9299999999998</v>
      </c>
      <c r="D61" s="119">
        <f>+J61</f>
        <v>0</v>
      </c>
      <c r="E61" s="110"/>
      <c r="F61" s="119">
        <f>+L61</f>
        <v>2000</v>
      </c>
      <c r="G61" s="294">
        <f t="shared" si="3"/>
        <v>0</v>
      </c>
      <c r="H61" s="490">
        <f t="shared" si="25"/>
        <v>1.1044049190195093</v>
      </c>
      <c r="I61" s="290"/>
      <c r="J61" s="119"/>
      <c r="K61" s="290"/>
      <c r="L61" s="290">
        <f t="shared" si="16"/>
        <v>2000</v>
      </c>
      <c r="M61" s="354">
        <f>+J61/L61</f>
        <v>0</v>
      </c>
      <c r="N61" s="353"/>
      <c r="O61" s="431"/>
      <c r="P61" s="119"/>
      <c r="Q61" s="119"/>
      <c r="R61" s="119"/>
      <c r="S61" s="119"/>
      <c r="T61" s="119"/>
      <c r="U61" s="119"/>
      <c r="V61" s="119"/>
      <c r="W61" s="356"/>
      <c r="X61" s="290">
        <v>2000</v>
      </c>
      <c r="Y61" s="119"/>
      <c r="Z61" s="119"/>
      <c r="AA61" s="119"/>
      <c r="AB61" s="119"/>
      <c r="AC61" s="119"/>
      <c r="AD61" s="119"/>
      <c r="AE61" s="355"/>
      <c r="AF61" s="356"/>
    </row>
    <row r="62" spans="1:103" outlineLevel="1" x14ac:dyDescent="0.25">
      <c r="A62" s="352" t="s">
        <v>1034</v>
      </c>
      <c r="B62" s="475" t="s">
        <v>47</v>
      </c>
      <c r="C62" s="431"/>
      <c r="D62" s="119">
        <f>+J62</f>
        <v>0</v>
      </c>
      <c r="E62" s="110"/>
      <c r="F62" s="119">
        <f>+L62</f>
        <v>0</v>
      </c>
      <c r="G62" s="294"/>
      <c r="H62" s="490"/>
      <c r="I62" s="290"/>
      <c r="J62" s="119"/>
      <c r="K62" s="290"/>
      <c r="L62" s="290">
        <f t="shared" si="16"/>
        <v>0</v>
      </c>
      <c r="M62" s="354"/>
      <c r="N62" s="353"/>
      <c r="O62" s="431"/>
      <c r="P62" s="119"/>
      <c r="Q62" s="119"/>
      <c r="R62" s="119"/>
      <c r="S62" s="119"/>
      <c r="T62" s="119"/>
      <c r="U62" s="119"/>
      <c r="V62" s="119"/>
      <c r="W62" s="356"/>
      <c r="X62" s="290"/>
      <c r="Y62" s="119"/>
      <c r="Z62" s="119"/>
      <c r="AA62" s="119"/>
      <c r="AB62" s="119"/>
      <c r="AC62" s="119"/>
      <c r="AD62" s="119"/>
      <c r="AE62" s="355"/>
      <c r="AF62" s="356"/>
    </row>
    <row r="63" spans="1:103" s="351" customFormat="1" ht="15.75" x14ac:dyDescent="0.25">
      <c r="A63" s="345" t="s">
        <v>741</v>
      </c>
      <c r="B63" s="474" t="s">
        <v>713</v>
      </c>
      <c r="C63" s="430">
        <f>SUM(C64:C69)</f>
        <v>18075.079999999998</v>
      </c>
      <c r="D63" s="455">
        <f>SUM(D64:D69)</f>
        <v>15705.15</v>
      </c>
      <c r="E63" s="274">
        <f>SUM(E64:E69)</f>
        <v>17814.7</v>
      </c>
      <c r="F63" s="455">
        <f>SUM(F64:F69)</f>
        <v>15050</v>
      </c>
      <c r="G63" s="292">
        <f t="shared" si="3"/>
        <v>1.0435315614617939</v>
      </c>
      <c r="H63" s="489">
        <f>+F63/C63</f>
        <v>0.83263808514263848</v>
      </c>
      <c r="I63" s="349"/>
      <c r="J63" s="347">
        <f>SUM(J64:J69)</f>
        <v>10328.950000000001</v>
      </c>
      <c r="K63" s="291"/>
      <c r="L63" s="291">
        <f t="shared" si="16"/>
        <v>15050</v>
      </c>
      <c r="M63" s="348">
        <f t="shared" ref="M63:M68" si="29">+J63/L63</f>
        <v>0.68630897009966785</v>
      </c>
      <c r="N63" s="392"/>
      <c r="O63" s="430">
        <f>SUM(O64:O69)</f>
        <v>0</v>
      </c>
      <c r="P63" s="455">
        <f t="shared" ref="P63:W63" si="30">SUM(P64:P69)</f>
        <v>6980</v>
      </c>
      <c r="Q63" s="455">
        <f t="shared" si="30"/>
        <v>0</v>
      </c>
      <c r="R63" s="455">
        <f t="shared" si="30"/>
        <v>0</v>
      </c>
      <c r="S63" s="455">
        <f t="shared" si="30"/>
        <v>0</v>
      </c>
      <c r="T63" s="455">
        <f t="shared" si="30"/>
        <v>0</v>
      </c>
      <c r="U63" s="455">
        <f t="shared" si="30"/>
        <v>0</v>
      </c>
      <c r="V63" s="455">
        <f t="shared" si="30"/>
        <v>3348.95</v>
      </c>
      <c r="W63" s="350">
        <f t="shared" si="30"/>
        <v>0</v>
      </c>
      <c r="X63" s="349">
        <f t="shared" ref="X63:AF63" si="31">SUM(X64:X69)</f>
        <v>0</v>
      </c>
      <c r="Y63" s="455">
        <f t="shared" si="31"/>
        <v>6550</v>
      </c>
      <c r="Z63" s="455">
        <f t="shared" si="31"/>
        <v>0</v>
      </c>
      <c r="AA63" s="455">
        <f t="shared" si="31"/>
        <v>0</v>
      </c>
      <c r="AB63" s="455">
        <f t="shared" si="31"/>
        <v>0</v>
      </c>
      <c r="AC63" s="455">
        <f t="shared" si="31"/>
        <v>0</v>
      </c>
      <c r="AD63" s="455">
        <f t="shared" si="31"/>
        <v>0</v>
      </c>
      <c r="AE63" s="455">
        <f t="shared" si="31"/>
        <v>8500</v>
      </c>
      <c r="AF63" s="350">
        <f t="shared" si="31"/>
        <v>0</v>
      </c>
      <c r="AG63" s="293"/>
      <c r="AH63" s="293"/>
      <c r="AI63" s="293"/>
      <c r="AJ63" s="293"/>
      <c r="AK63" s="293"/>
      <c r="AL63" s="293"/>
      <c r="AM63" s="293"/>
      <c r="AN63" s="293"/>
      <c r="AO63" s="293"/>
      <c r="AP63" s="293"/>
      <c r="AQ63" s="293"/>
      <c r="AR63" s="293"/>
      <c r="AS63" s="293"/>
      <c r="AT63" s="293"/>
      <c r="AU63" s="293"/>
      <c r="AV63" s="293"/>
      <c r="AW63" s="293"/>
      <c r="AX63" s="293"/>
      <c r="AY63" s="293"/>
      <c r="AZ63" s="293"/>
      <c r="BA63" s="293"/>
      <c r="BB63" s="293"/>
      <c r="BC63" s="293"/>
      <c r="BD63" s="293"/>
      <c r="BE63" s="293"/>
      <c r="BF63" s="293"/>
      <c r="BG63" s="293"/>
      <c r="BH63" s="293"/>
      <c r="BI63" s="293"/>
      <c r="BJ63" s="293"/>
      <c r="BK63" s="293"/>
      <c r="BL63" s="293"/>
      <c r="BM63" s="293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  <c r="CA63" s="293"/>
      <c r="CB63" s="293"/>
      <c r="CC63" s="293"/>
      <c r="CD63" s="293"/>
      <c r="CE63" s="293"/>
      <c r="CF63" s="293"/>
      <c r="CG63" s="293"/>
      <c r="CH63" s="293"/>
      <c r="CI63" s="293"/>
      <c r="CJ63" s="293"/>
      <c r="CK63" s="293"/>
      <c r="CL63" s="293"/>
      <c r="CM63" s="293"/>
      <c r="CN63" s="293"/>
      <c r="CO63" s="293"/>
      <c r="CP63" s="293"/>
      <c r="CQ63" s="293"/>
      <c r="CR63" s="293"/>
      <c r="CS63" s="293"/>
      <c r="CT63" s="293"/>
      <c r="CU63" s="293"/>
      <c r="CV63" s="293"/>
      <c r="CW63" s="293"/>
      <c r="CX63" s="293"/>
      <c r="CY63" s="293"/>
    </row>
    <row r="64" spans="1:103" outlineLevel="1" x14ac:dyDescent="0.25">
      <c r="A64" s="358" t="s">
        <v>742</v>
      </c>
      <c r="B64" s="475" t="s">
        <v>927</v>
      </c>
      <c r="C64" s="431">
        <v>6621.11</v>
      </c>
      <c r="D64" s="119">
        <v>5730.51</v>
      </c>
      <c r="E64" s="110">
        <v>5730.51</v>
      </c>
      <c r="F64" s="119">
        <f t="shared" ref="F64:F69" si="32">+L64</f>
        <v>3670</v>
      </c>
      <c r="G64" s="294">
        <f t="shared" si="3"/>
        <v>1.5614468664850136</v>
      </c>
      <c r="H64" s="490">
        <f>+F64/C64</f>
        <v>0.55428772516994884</v>
      </c>
      <c r="I64" s="290"/>
      <c r="J64" s="119">
        <f t="shared" si="20"/>
        <v>3517</v>
      </c>
      <c r="K64" s="290"/>
      <c r="L64" s="290">
        <f t="shared" si="16"/>
        <v>3670</v>
      </c>
      <c r="M64" s="354">
        <f t="shared" si="29"/>
        <v>0.95831062670299727</v>
      </c>
      <c r="N64" s="353"/>
      <c r="O64" s="431"/>
      <c r="P64" s="119">
        <v>3517</v>
      </c>
      <c r="Q64" s="119"/>
      <c r="R64" s="119"/>
      <c r="S64" s="119"/>
      <c r="T64" s="119"/>
      <c r="U64" s="119"/>
      <c r="V64" s="119"/>
      <c r="W64" s="356"/>
      <c r="X64" s="290"/>
      <c r="Y64" s="119">
        <v>3670</v>
      </c>
      <c r="Z64" s="119"/>
      <c r="AA64" s="119"/>
      <c r="AB64" s="119"/>
      <c r="AC64" s="119"/>
      <c r="AD64" s="119"/>
      <c r="AE64" s="355"/>
      <c r="AF64" s="356"/>
    </row>
    <row r="65" spans="1:103" outlineLevel="1" x14ac:dyDescent="0.25">
      <c r="A65" s="352" t="s">
        <v>729</v>
      </c>
      <c r="B65" s="475" t="s">
        <v>928</v>
      </c>
      <c r="C65" s="431">
        <v>2197.0500000000002</v>
      </c>
      <c r="D65" s="119">
        <f>2014.62+182.43</f>
        <v>2197.0499999999997</v>
      </c>
      <c r="E65" s="110">
        <v>2197.0500000000002</v>
      </c>
      <c r="F65" s="119">
        <f t="shared" si="32"/>
        <v>2000</v>
      </c>
      <c r="G65" s="294">
        <f t="shared" si="3"/>
        <v>1.098525</v>
      </c>
      <c r="H65" s="490">
        <f>+F65/C65</f>
        <v>0.91031155412940068</v>
      </c>
      <c r="I65" s="290"/>
      <c r="J65" s="119">
        <f t="shared" si="20"/>
        <v>2015</v>
      </c>
      <c r="K65" s="290"/>
      <c r="L65" s="290">
        <f t="shared" si="16"/>
        <v>2000</v>
      </c>
      <c r="M65" s="354">
        <f t="shared" si="29"/>
        <v>1.0075000000000001</v>
      </c>
      <c r="N65" s="353"/>
      <c r="O65" s="431"/>
      <c r="P65" s="119">
        <v>2015</v>
      </c>
      <c r="Q65" s="119"/>
      <c r="R65" s="119"/>
      <c r="S65" s="119"/>
      <c r="T65" s="119"/>
      <c r="U65" s="119"/>
      <c r="V65" s="119"/>
      <c r="W65" s="356"/>
      <c r="X65" s="290"/>
      <c r="Y65" s="119">
        <v>2000</v>
      </c>
      <c r="Z65" s="119"/>
      <c r="AA65" s="119"/>
      <c r="AB65" s="119"/>
      <c r="AC65" s="119"/>
      <c r="AD65" s="119"/>
      <c r="AE65" s="355"/>
      <c r="AF65" s="356"/>
    </row>
    <row r="66" spans="1:103" outlineLevel="1" x14ac:dyDescent="0.25">
      <c r="A66" s="352" t="s">
        <v>743</v>
      </c>
      <c r="B66" s="475" t="s">
        <v>926</v>
      </c>
      <c r="C66" s="431">
        <v>435.9</v>
      </c>
      <c r="D66" s="119">
        <v>423</v>
      </c>
      <c r="E66" s="110">
        <v>423.18</v>
      </c>
      <c r="F66" s="119">
        <f t="shared" si="32"/>
        <v>380</v>
      </c>
      <c r="G66" s="294">
        <f t="shared" si="3"/>
        <v>1.1131578947368421</v>
      </c>
      <c r="H66" s="490">
        <f>+F66/C66</f>
        <v>0.87175957788483605</v>
      </c>
      <c r="I66" s="290"/>
      <c r="J66" s="119">
        <f t="shared" si="20"/>
        <v>423</v>
      </c>
      <c r="K66" s="290"/>
      <c r="L66" s="290">
        <f t="shared" si="16"/>
        <v>380</v>
      </c>
      <c r="M66" s="354">
        <f t="shared" si="29"/>
        <v>1.1131578947368421</v>
      </c>
      <c r="N66" s="353"/>
      <c r="O66" s="431"/>
      <c r="P66" s="119">
        <v>423</v>
      </c>
      <c r="Q66" s="119"/>
      <c r="R66" s="119"/>
      <c r="S66" s="119"/>
      <c r="T66" s="119"/>
      <c r="U66" s="119"/>
      <c r="V66" s="119"/>
      <c r="W66" s="356"/>
      <c r="X66" s="290"/>
      <c r="Y66" s="119">
        <v>380</v>
      </c>
      <c r="Z66" s="119"/>
      <c r="AA66" s="119"/>
      <c r="AB66" s="119"/>
      <c r="AC66" s="119"/>
      <c r="AD66" s="119"/>
      <c r="AE66" s="355"/>
      <c r="AF66" s="356"/>
    </row>
    <row r="67" spans="1:103" outlineLevel="1" x14ac:dyDescent="0.25">
      <c r="A67" s="352" t="s">
        <v>744</v>
      </c>
      <c r="B67" s="475" t="s">
        <v>951</v>
      </c>
      <c r="C67" s="431">
        <v>8439.58</v>
      </c>
      <c r="D67" s="119">
        <v>6329.59</v>
      </c>
      <c r="E67" s="110">
        <v>8439.6</v>
      </c>
      <c r="F67" s="119">
        <f t="shared" si="32"/>
        <v>8500</v>
      </c>
      <c r="G67" s="294">
        <f t="shared" si="3"/>
        <v>0.74465764705882354</v>
      </c>
      <c r="H67" s="490">
        <f>+F67/C67</f>
        <v>1.0071591240322386</v>
      </c>
      <c r="I67" s="290"/>
      <c r="J67" s="119">
        <f t="shared" si="20"/>
        <v>3348.95</v>
      </c>
      <c r="K67" s="290"/>
      <c r="L67" s="290">
        <f t="shared" si="16"/>
        <v>8500</v>
      </c>
      <c r="M67" s="354">
        <f t="shared" si="29"/>
        <v>0.39399411764705883</v>
      </c>
      <c r="N67" s="353"/>
      <c r="O67" s="431"/>
      <c r="P67" s="119"/>
      <c r="Q67" s="119"/>
      <c r="R67" s="119"/>
      <c r="S67" s="119"/>
      <c r="T67" s="119"/>
      <c r="U67" s="119"/>
      <c r="V67" s="119">
        <v>3348.95</v>
      </c>
      <c r="W67" s="356"/>
      <c r="X67" s="290"/>
      <c r="Y67" s="119"/>
      <c r="Z67" s="119"/>
      <c r="AA67" s="119"/>
      <c r="AB67" s="119"/>
      <c r="AC67" s="119"/>
      <c r="AD67" s="119"/>
      <c r="AE67" s="355">
        <v>8500</v>
      </c>
      <c r="AF67" s="356"/>
    </row>
    <row r="68" spans="1:103" outlineLevel="1" x14ac:dyDescent="0.25">
      <c r="A68" s="352" t="s">
        <v>972</v>
      </c>
      <c r="B68" s="475" t="s">
        <v>1354</v>
      </c>
      <c r="C68" s="431"/>
      <c r="D68" s="119">
        <v>363</v>
      </c>
      <c r="E68" s="110">
        <v>362.75</v>
      </c>
      <c r="F68" s="119">
        <f t="shared" si="32"/>
        <v>500</v>
      </c>
      <c r="G68" s="294">
        <f t="shared" si="3"/>
        <v>0.72599999999999998</v>
      </c>
      <c r="H68" s="490"/>
      <c r="I68" s="290"/>
      <c r="J68" s="119">
        <f t="shared" si="20"/>
        <v>363</v>
      </c>
      <c r="K68" s="290"/>
      <c r="L68" s="290">
        <f t="shared" si="16"/>
        <v>500</v>
      </c>
      <c r="M68" s="354">
        <f t="shared" si="29"/>
        <v>0.72599999999999998</v>
      </c>
      <c r="N68" s="353"/>
      <c r="O68" s="431"/>
      <c r="P68" s="119">
        <v>363</v>
      </c>
      <c r="Q68" s="119"/>
      <c r="R68" s="119"/>
      <c r="S68" s="119"/>
      <c r="T68" s="119"/>
      <c r="U68" s="119"/>
      <c r="V68" s="119"/>
      <c r="W68" s="356"/>
      <c r="X68" s="290"/>
      <c r="Y68" s="119">
        <v>500</v>
      </c>
      <c r="Z68" s="119"/>
      <c r="AA68" s="119"/>
      <c r="AB68" s="119"/>
      <c r="AC68" s="119"/>
      <c r="AD68" s="119"/>
      <c r="AE68" s="355"/>
      <c r="AF68" s="356"/>
    </row>
    <row r="69" spans="1:103" outlineLevel="1" x14ac:dyDescent="0.25">
      <c r="A69" s="352" t="s">
        <v>1035</v>
      </c>
      <c r="B69" s="475" t="s">
        <v>47</v>
      </c>
      <c r="C69" s="431">
        <v>381.44</v>
      </c>
      <c r="D69" s="119">
        <v>662</v>
      </c>
      <c r="E69" s="110">
        <v>661.61</v>
      </c>
      <c r="F69" s="119">
        <f t="shared" si="32"/>
        <v>0</v>
      </c>
      <c r="G69" s="294"/>
      <c r="H69" s="490">
        <f t="shared" ref="H69:H75" si="33">+F69/C69</f>
        <v>0</v>
      </c>
      <c r="I69" s="290"/>
      <c r="J69" s="119">
        <f t="shared" si="20"/>
        <v>662</v>
      </c>
      <c r="K69" s="290"/>
      <c r="L69" s="290">
        <f t="shared" si="16"/>
        <v>0</v>
      </c>
      <c r="M69" s="354"/>
      <c r="N69" s="353"/>
      <c r="O69" s="431"/>
      <c r="P69" s="119">
        <v>662</v>
      </c>
      <c r="Q69" s="119"/>
      <c r="R69" s="119"/>
      <c r="S69" s="119"/>
      <c r="T69" s="119"/>
      <c r="U69" s="119"/>
      <c r="V69" s="119"/>
      <c r="W69" s="356"/>
      <c r="X69" s="290"/>
      <c r="Y69" s="119"/>
      <c r="Z69" s="119"/>
      <c r="AA69" s="119"/>
      <c r="AB69" s="119"/>
      <c r="AC69" s="119"/>
      <c r="AD69" s="119"/>
      <c r="AE69" s="355"/>
      <c r="AF69" s="356"/>
    </row>
    <row r="70" spans="1:103" s="351" customFormat="1" ht="15.75" x14ac:dyDescent="0.25">
      <c r="A70" s="345" t="s">
        <v>745</v>
      </c>
      <c r="B70" s="474" t="s">
        <v>714</v>
      </c>
      <c r="C70" s="430">
        <f>+C71+C72+C73+C74+C75</f>
        <v>10504.310000000001</v>
      </c>
      <c r="D70" s="455">
        <f>+D71+D72+D73+D74+D75</f>
        <v>5924.84</v>
      </c>
      <c r="E70" s="274">
        <f>+E71+E72+E73+E74+E75</f>
        <v>9051.7000000000007</v>
      </c>
      <c r="F70" s="455">
        <f>+F71+F72+F73+F74+F75</f>
        <v>10705</v>
      </c>
      <c r="G70" s="292">
        <f t="shared" si="3"/>
        <v>0.55346473610462399</v>
      </c>
      <c r="H70" s="489">
        <f t="shared" si="33"/>
        <v>1.0191054909841768</v>
      </c>
      <c r="I70" s="349"/>
      <c r="J70" s="347">
        <f>SUM(J71:J75)</f>
        <v>4259</v>
      </c>
      <c r="K70" s="291"/>
      <c r="L70" s="291">
        <f t="shared" si="16"/>
        <v>10705</v>
      </c>
      <c r="M70" s="348">
        <f t="shared" ref="M70:M75" si="34">+J70/L70</f>
        <v>0.39785147127510512</v>
      </c>
      <c r="N70" s="392"/>
      <c r="O70" s="430">
        <f>SUM(O71:O75)</f>
        <v>0</v>
      </c>
      <c r="P70" s="455">
        <f t="shared" ref="P70:W70" si="35">SUM(P71:P75)</f>
        <v>630</v>
      </c>
      <c r="Q70" s="455">
        <f t="shared" si="35"/>
        <v>0</v>
      </c>
      <c r="R70" s="455">
        <f t="shared" si="35"/>
        <v>0</v>
      </c>
      <c r="S70" s="455">
        <f t="shared" si="35"/>
        <v>0</v>
      </c>
      <c r="T70" s="455">
        <f t="shared" si="35"/>
        <v>0</v>
      </c>
      <c r="U70" s="455">
        <f t="shared" si="35"/>
        <v>0</v>
      </c>
      <c r="V70" s="455">
        <f t="shared" si="35"/>
        <v>3629</v>
      </c>
      <c r="W70" s="350">
        <f t="shared" si="35"/>
        <v>0</v>
      </c>
      <c r="X70" s="349">
        <f t="shared" ref="X70:AF70" si="36">SUM(X71:X75)</f>
        <v>0</v>
      </c>
      <c r="Y70" s="455">
        <f t="shared" si="36"/>
        <v>0</v>
      </c>
      <c r="Z70" s="455">
        <f t="shared" si="36"/>
        <v>0</v>
      </c>
      <c r="AA70" s="455">
        <f t="shared" si="36"/>
        <v>0</v>
      </c>
      <c r="AB70" s="455">
        <f t="shared" si="36"/>
        <v>0</v>
      </c>
      <c r="AC70" s="455">
        <f t="shared" si="36"/>
        <v>0</v>
      </c>
      <c r="AD70" s="455">
        <f t="shared" si="36"/>
        <v>0</v>
      </c>
      <c r="AE70" s="455">
        <f t="shared" si="36"/>
        <v>10705</v>
      </c>
      <c r="AF70" s="350">
        <f t="shared" si="36"/>
        <v>0</v>
      </c>
      <c r="AG70" s="293"/>
      <c r="AH70" s="293"/>
      <c r="AI70" s="293"/>
      <c r="AJ70" s="293"/>
      <c r="AK70" s="293"/>
      <c r="AL70" s="293"/>
      <c r="AM70" s="293"/>
      <c r="AN70" s="293"/>
      <c r="AO70" s="293"/>
      <c r="AP70" s="293"/>
      <c r="AQ70" s="293"/>
      <c r="AR70" s="293"/>
      <c r="AS70" s="293"/>
      <c r="AT70" s="293"/>
      <c r="AU70" s="293"/>
      <c r="AV70" s="293"/>
      <c r="AW70" s="293"/>
      <c r="AX70" s="293"/>
      <c r="AY70" s="293"/>
      <c r="AZ70" s="293"/>
      <c r="BA70" s="293"/>
      <c r="BB70" s="293"/>
      <c r="BC70" s="293"/>
      <c r="BD70" s="293"/>
      <c r="BE70" s="293"/>
      <c r="BF70" s="293"/>
      <c r="BG70" s="293"/>
      <c r="BH70" s="293"/>
      <c r="BI70" s="293"/>
      <c r="BJ70" s="293"/>
      <c r="BK70" s="293"/>
      <c r="BL70" s="293"/>
      <c r="BM70" s="293"/>
      <c r="BN70" s="293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  <c r="CA70" s="293"/>
      <c r="CB70" s="293"/>
      <c r="CC70" s="293"/>
      <c r="CD70" s="293"/>
      <c r="CE70" s="293"/>
      <c r="CF70" s="293"/>
      <c r="CG70" s="293"/>
      <c r="CH70" s="293"/>
      <c r="CI70" s="293"/>
      <c r="CJ70" s="293"/>
      <c r="CK70" s="293"/>
      <c r="CL70" s="293"/>
      <c r="CM70" s="293"/>
      <c r="CN70" s="293"/>
      <c r="CO70" s="293"/>
      <c r="CP70" s="293"/>
      <c r="CQ70" s="293"/>
      <c r="CR70" s="293"/>
      <c r="CS70" s="293"/>
      <c r="CT70" s="293"/>
      <c r="CU70" s="293"/>
      <c r="CV70" s="293"/>
      <c r="CW70" s="293"/>
      <c r="CX70" s="293"/>
      <c r="CY70" s="293"/>
    </row>
    <row r="71" spans="1:103" outlineLevel="1" x14ac:dyDescent="0.25">
      <c r="A71" s="358" t="s">
        <v>746</v>
      </c>
      <c r="B71" s="475" t="s">
        <v>924</v>
      </c>
      <c r="C71" s="431">
        <v>604.61</v>
      </c>
      <c r="D71" s="119">
        <v>503</v>
      </c>
      <c r="E71" s="110">
        <v>503.04</v>
      </c>
      <c r="F71" s="119">
        <f>+L71</f>
        <v>1000</v>
      </c>
      <c r="G71" s="294">
        <f t="shared" si="3"/>
        <v>0.503</v>
      </c>
      <c r="H71" s="490">
        <f t="shared" si="33"/>
        <v>1.6539587502687683</v>
      </c>
      <c r="I71" s="290"/>
      <c r="J71" s="119">
        <f t="shared" si="20"/>
        <v>503</v>
      </c>
      <c r="K71" s="290"/>
      <c r="L71" s="290">
        <f t="shared" si="16"/>
        <v>1000</v>
      </c>
      <c r="M71" s="354">
        <f t="shared" si="34"/>
        <v>0.503</v>
      </c>
      <c r="N71" s="353"/>
      <c r="O71" s="431"/>
      <c r="P71" s="119"/>
      <c r="Q71" s="119"/>
      <c r="R71" s="119"/>
      <c r="S71" s="119"/>
      <c r="T71" s="119"/>
      <c r="U71" s="119"/>
      <c r="V71" s="119">
        <v>503</v>
      </c>
      <c r="W71" s="356"/>
      <c r="X71" s="290"/>
      <c r="Y71" s="119"/>
      <c r="Z71" s="119"/>
      <c r="AA71" s="119"/>
      <c r="AB71" s="119"/>
      <c r="AC71" s="119"/>
      <c r="AD71" s="119"/>
      <c r="AE71" s="355">
        <v>1000</v>
      </c>
      <c r="AF71" s="356"/>
    </row>
    <row r="72" spans="1:103" outlineLevel="1" x14ac:dyDescent="0.25">
      <c r="A72" s="352" t="s">
        <v>747</v>
      </c>
      <c r="B72" s="475" t="s">
        <v>925</v>
      </c>
      <c r="C72" s="431">
        <v>909.62</v>
      </c>
      <c r="D72" s="119">
        <v>1906</v>
      </c>
      <c r="E72" s="110">
        <v>1905.69</v>
      </c>
      <c r="F72" s="119">
        <f>+L72</f>
        <v>730</v>
      </c>
      <c r="G72" s="294">
        <f t="shared" si="3"/>
        <v>2.6109589041095891</v>
      </c>
      <c r="H72" s="490">
        <f t="shared" si="33"/>
        <v>0.80253292583716274</v>
      </c>
      <c r="I72" s="290"/>
      <c r="J72" s="119">
        <f t="shared" si="20"/>
        <v>1906</v>
      </c>
      <c r="K72" s="290"/>
      <c r="L72" s="290">
        <f t="shared" si="16"/>
        <v>730</v>
      </c>
      <c r="M72" s="354">
        <f t="shared" si="34"/>
        <v>2.6109589041095891</v>
      </c>
      <c r="N72" s="353"/>
      <c r="O72" s="431"/>
      <c r="P72" s="119">
        <v>630</v>
      </c>
      <c r="Q72" s="119"/>
      <c r="R72" s="119"/>
      <c r="S72" s="119"/>
      <c r="T72" s="119"/>
      <c r="U72" s="119"/>
      <c r="V72" s="119">
        <v>1276</v>
      </c>
      <c r="W72" s="356"/>
      <c r="X72" s="290"/>
      <c r="Y72" s="119"/>
      <c r="Z72" s="119"/>
      <c r="AA72" s="119"/>
      <c r="AB72" s="119"/>
      <c r="AC72" s="119"/>
      <c r="AD72" s="119"/>
      <c r="AE72" s="355">
        <v>730</v>
      </c>
      <c r="AF72" s="356"/>
    </row>
    <row r="73" spans="1:103" outlineLevel="1" x14ac:dyDescent="0.25">
      <c r="A73" s="352" t="s">
        <v>730</v>
      </c>
      <c r="B73" s="475" t="s">
        <v>926</v>
      </c>
      <c r="C73" s="431">
        <v>1468.16</v>
      </c>
      <c r="D73" s="119">
        <v>1559</v>
      </c>
      <c r="E73" s="110">
        <v>1558.86</v>
      </c>
      <c r="F73" s="119">
        <f>+L73</f>
        <v>1540</v>
      </c>
      <c r="G73" s="294">
        <f t="shared" si="3"/>
        <v>1.0123376623376623</v>
      </c>
      <c r="H73" s="490">
        <f t="shared" si="33"/>
        <v>1.0489319965126416</v>
      </c>
      <c r="I73" s="290"/>
      <c r="J73" s="119">
        <f t="shared" si="20"/>
        <v>1559</v>
      </c>
      <c r="K73" s="290"/>
      <c r="L73" s="290">
        <f t="shared" si="16"/>
        <v>1540</v>
      </c>
      <c r="M73" s="354">
        <f t="shared" si="34"/>
        <v>1.0123376623376623</v>
      </c>
      <c r="N73" s="353"/>
      <c r="O73" s="431"/>
      <c r="P73" s="119"/>
      <c r="Q73" s="119"/>
      <c r="R73" s="119"/>
      <c r="S73" s="119"/>
      <c r="T73" s="119"/>
      <c r="U73" s="119"/>
      <c r="V73" s="119">
        <v>1559</v>
      </c>
      <c r="W73" s="356"/>
      <c r="X73" s="290"/>
      <c r="Y73" s="119"/>
      <c r="Z73" s="119"/>
      <c r="AA73" s="119"/>
      <c r="AB73" s="119"/>
      <c r="AC73" s="119"/>
      <c r="AD73" s="119"/>
      <c r="AE73" s="355">
        <v>1540</v>
      </c>
      <c r="AF73" s="356"/>
    </row>
    <row r="74" spans="1:103" outlineLevel="1" x14ac:dyDescent="0.25">
      <c r="A74" s="352" t="s">
        <v>748</v>
      </c>
      <c r="B74" s="475" t="s">
        <v>337</v>
      </c>
      <c r="C74" s="431">
        <v>4691.5200000000004</v>
      </c>
      <c r="D74" s="119">
        <v>1563.84</v>
      </c>
      <c r="E74" s="110">
        <v>4691.5200000000004</v>
      </c>
      <c r="F74" s="119">
        <f>+L74</f>
        <v>4700</v>
      </c>
      <c r="G74" s="294">
        <f t="shared" si="3"/>
        <v>0.33273191489361703</v>
      </c>
      <c r="H74" s="490">
        <f t="shared" si="33"/>
        <v>1.0018075165404814</v>
      </c>
      <c r="I74" s="290"/>
      <c r="J74" s="119">
        <f t="shared" si="20"/>
        <v>291</v>
      </c>
      <c r="K74" s="290"/>
      <c r="L74" s="290">
        <f t="shared" si="16"/>
        <v>4700</v>
      </c>
      <c r="M74" s="354">
        <f t="shared" si="34"/>
        <v>6.191489361702128E-2</v>
      </c>
      <c r="N74" s="353"/>
      <c r="O74" s="431"/>
      <c r="P74" s="119"/>
      <c r="Q74" s="119"/>
      <c r="R74" s="119"/>
      <c r="S74" s="119"/>
      <c r="T74" s="119"/>
      <c r="U74" s="119"/>
      <c r="V74" s="119">
        <v>291</v>
      </c>
      <c r="W74" s="356"/>
      <c r="X74" s="290"/>
      <c r="Y74" s="119"/>
      <c r="Z74" s="119"/>
      <c r="AA74" s="119"/>
      <c r="AB74" s="119"/>
      <c r="AC74" s="119"/>
      <c r="AD74" s="119"/>
      <c r="AE74" s="355">
        <v>4700</v>
      </c>
      <c r="AF74" s="356"/>
    </row>
    <row r="75" spans="1:103" outlineLevel="1" x14ac:dyDescent="0.25">
      <c r="A75" s="352" t="s">
        <v>1036</v>
      </c>
      <c r="B75" s="475" t="s">
        <v>47</v>
      </c>
      <c r="C75" s="431">
        <v>2830.4</v>
      </c>
      <c r="D75" s="119">
        <v>393</v>
      </c>
      <c r="E75" s="110">
        <v>392.59</v>
      </c>
      <c r="F75" s="119">
        <f>+L75</f>
        <v>2735</v>
      </c>
      <c r="G75" s="294">
        <f t="shared" si="3"/>
        <v>0.14369287020109689</v>
      </c>
      <c r="H75" s="490">
        <f t="shared" si="33"/>
        <v>0.96629451667608812</v>
      </c>
      <c r="I75" s="290"/>
      <c r="J75" s="119">
        <f t="shared" si="20"/>
        <v>0</v>
      </c>
      <c r="K75" s="290"/>
      <c r="L75" s="290">
        <f t="shared" si="16"/>
        <v>2735</v>
      </c>
      <c r="M75" s="354">
        <f t="shared" si="34"/>
        <v>0</v>
      </c>
      <c r="N75" s="353"/>
      <c r="O75" s="431"/>
      <c r="P75" s="119"/>
      <c r="Q75" s="119"/>
      <c r="R75" s="119"/>
      <c r="S75" s="119"/>
      <c r="T75" s="119"/>
      <c r="U75" s="119"/>
      <c r="V75" s="119"/>
      <c r="W75" s="356"/>
      <c r="X75" s="290"/>
      <c r="Y75" s="119"/>
      <c r="Z75" s="119"/>
      <c r="AA75" s="119"/>
      <c r="AB75" s="119"/>
      <c r="AC75" s="119"/>
      <c r="AD75" s="119"/>
      <c r="AE75" s="355">
        <v>2735</v>
      </c>
      <c r="AF75" s="356"/>
    </row>
    <row r="76" spans="1:103" s="351" customFormat="1" ht="15.75" hidden="1" x14ac:dyDescent="0.25">
      <c r="A76" s="345" t="s">
        <v>963</v>
      </c>
      <c r="B76" s="474" t="s">
        <v>988</v>
      </c>
      <c r="C76" s="430">
        <f>+C77+C78</f>
        <v>0</v>
      </c>
      <c r="D76" s="455">
        <f>+D77+D78</f>
        <v>0</v>
      </c>
      <c r="E76" s="274">
        <f>+E77+E78</f>
        <v>0</v>
      </c>
      <c r="F76" s="455">
        <f>+F77+F78</f>
        <v>0</v>
      </c>
      <c r="G76" s="292"/>
      <c r="H76" s="489"/>
      <c r="I76" s="349"/>
      <c r="J76" s="347">
        <f>+J77+J78</f>
        <v>0</v>
      </c>
      <c r="K76" s="291"/>
      <c r="L76" s="291">
        <f t="shared" si="16"/>
        <v>0</v>
      </c>
      <c r="M76" s="348"/>
      <c r="N76" s="392"/>
      <c r="O76" s="430">
        <f>+O77+O78</f>
        <v>0</v>
      </c>
      <c r="P76" s="455">
        <f t="shared" ref="P76:AF76" si="37">SUM(P77:P78)</f>
        <v>0</v>
      </c>
      <c r="Q76" s="455">
        <f t="shared" si="37"/>
        <v>0</v>
      </c>
      <c r="R76" s="455">
        <f t="shared" si="37"/>
        <v>0</v>
      </c>
      <c r="S76" s="455">
        <f t="shared" si="37"/>
        <v>0</v>
      </c>
      <c r="T76" s="455">
        <f t="shared" si="37"/>
        <v>0</v>
      </c>
      <c r="U76" s="455">
        <f t="shared" si="37"/>
        <v>0</v>
      </c>
      <c r="V76" s="455">
        <f t="shared" si="37"/>
        <v>0</v>
      </c>
      <c r="W76" s="350">
        <f t="shared" si="37"/>
        <v>0</v>
      </c>
      <c r="X76" s="349">
        <f t="shared" si="37"/>
        <v>0</v>
      </c>
      <c r="Y76" s="455">
        <f t="shared" si="37"/>
        <v>0</v>
      </c>
      <c r="Z76" s="455">
        <f t="shared" si="37"/>
        <v>0</v>
      </c>
      <c r="AA76" s="455">
        <f t="shared" si="37"/>
        <v>0</v>
      </c>
      <c r="AB76" s="455">
        <f t="shared" si="37"/>
        <v>0</v>
      </c>
      <c r="AC76" s="455">
        <f t="shared" si="37"/>
        <v>0</v>
      </c>
      <c r="AD76" s="455">
        <f t="shared" si="37"/>
        <v>0</v>
      </c>
      <c r="AE76" s="455">
        <f t="shared" si="37"/>
        <v>0</v>
      </c>
      <c r="AF76" s="350">
        <f t="shared" si="37"/>
        <v>0</v>
      </c>
      <c r="AG76" s="293"/>
      <c r="AH76" s="293"/>
      <c r="AI76" s="293"/>
      <c r="AJ76" s="293"/>
      <c r="AK76" s="293"/>
      <c r="AL76" s="293"/>
      <c r="AM76" s="293"/>
      <c r="AN76" s="293"/>
      <c r="AO76" s="293"/>
      <c r="AP76" s="293"/>
      <c r="AQ76" s="293"/>
      <c r="AR76" s="293"/>
      <c r="AS76" s="293"/>
      <c r="AT76" s="293"/>
      <c r="AU76" s="293"/>
      <c r="AV76" s="293"/>
      <c r="AW76" s="293"/>
      <c r="AX76" s="293"/>
      <c r="AY76" s="293"/>
      <c r="AZ76" s="293"/>
      <c r="BA76" s="293"/>
      <c r="BB76" s="293"/>
      <c r="BC76" s="293"/>
      <c r="BD76" s="293"/>
      <c r="BE76" s="293"/>
      <c r="BF76" s="293"/>
      <c r="BG76" s="293"/>
      <c r="BH76" s="293"/>
      <c r="BI76" s="293"/>
      <c r="BJ76" s="293"/>
      <c r="BK76" s="293"/>
      <c r="BL76" s="293"/>
      <c r="BM76" s="293"/>
      <c r="BN76" s="293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  <c r="CA76" s="293"/>
      <c r="CB76" s="293"/>
      <c r="CC76" s="293"/>
      <c r="CD76" s="293"/>
      <c r="CE76" s="293"/>
      <c r="CF76" s="293"/>
      <c r="CG76" s="293"/>
      <c r="CH76" s="293"/>
      <c r="CI76" s="293"/>
      <c r="CJ76" s="293"/>
      <c r="CK76" s="293"/>
      <c r="CL76" s="293"/>
      <c r="CM76" s="293"/>
      <c r="CN76" s="293"/>
      <c r="CO76" s="293"/>
      <c r="CP76" s="293"/>
      <c r="CQ76" s="293"/>
      <c r="CR76" s="293"/>
      <c r="CS76" s="293"/>
      <c r="CT76" s="293"/>
      <c r="CU76" s="293"/>
      <c r="CV76" s="293"/>
      <c r="CW76" s="293"/>
      <c r="CX76" s="293"/>
      <c r="CY76" s="293"/>
    </row>
    <row r="77" spans="1:103" hidden="1" outlineLevel="1" x14ac:dyDescent="0.25">
      <c r="A77" s="358" t="s">
        <v>896</v>
      </c>
      <c r="B77" s="475" t="s">
        <v>988</v>
      </c>
      <c r="C77" s="431"/>
      <c r="D77" s="119">
        <f>+J77</f>
        <v>0</v>
      </c>
      <c r="E77" s="110"/>
      <c r="F77" s="119">
        <f>+L77</f>
        <v>0</v>
      </c>
      <c r="G77" s="294"/>
      <c r="H77" s="490"/>
      <c r="I77" s="290"/>
      <c r="J77" s="119"/>
      <c r="K77" s="290"/>
      <c r="L77" s="290">
        <f t="shared" si="16"/>
        <v>0</v>
      </c>
      <c r="M77" s="354"/>
      <c r="N77" s="353"/>
      <c r="O77" s="431"/>
      <c r="P77" s="119"/>
      <c r="Q77" s="119"/>
      <c r="R77" s="119"/>
      <c r="S77" s="119"/>
      <c r="T77" s="119"/>
      <c r="U77" s="119"/>
      <c r="V77" s="119"/>
      <c r="W77" s="356"/>
      <c r="X77" s="290"/>
      <c r="Y77" s="119"/>
      <c r="Z77" s="119"/>
      <c r="AA77" s="119"/>
      <c r="AB77" s="119"/>
      <c r="AC77" s="119"/>
      <c r="AD77" s="119"/>
      <c r="AE77" s="355"/>
      <c r="AF77" s="356"/>
    </row>
    <row r="78" spans="1:103" hidden="1" outlineLevel="1" x14ac:dyDescent="0.25">
      <c r="A78" s="352" t="s">
        <v>1037</v>
      </c>
      <c r="B78" s="475" t="s">
        <v>47</v>
      </c>
      <c r="C78" s="431"/>
      <c r="D78" s="119"/>
      <c r="E78" s="110"/>
      <c r="F78" s="119"/>
      <c r="G78" s="294"/>
      <c r="H78" s="490"/>
      <c r="I78" s="290"/>
      <c r="J78" s="119"/>
      <c r="K78" s="290"/>
      <c r="L78" s="290">
        <f t="shared" si="16"/>
        <v>0</v>
      </c>
      <c r="M78" s="354"/>
      <c r="N78" s="353"/>
      <c r="O78" s="431"/>
      <c r="P78" s="119"/>
      <c r="Q78" s="119"/>
      <c r="R78" s="119"/>
      <c r="S78" s="119"/>
      <c r="T78" s="119"/>
      <c r="U78" s="119"/>
      <c r="V78" s="119"/>
      <c r="W78" s="356"/>
      <c r="X78" s="290"/>
      <c r="Y78" s="119"/>
      <c r="Z78" s="119"/>
      <c r="AA78" s="119"/>
      <c r="AB78" s="119"/>
      <c r="AC78" s="119"/>
      <c r="AD78" s="119"/>
      <c r="AE78" s="355"/>
      <c r="AF78" s="356"/>
    </row>
    <row r="79" spans="1:103" s="351" customFormat="1" ht="15.75" collapsed="1" x14ac:dyDescent="0.25">
      <c r="A79" s="345" t="s">
        <v>984</v>
      </c>
      <c r="B79" s="474" t="s">
        <v>1000</v>
      </c>
      <c r="C79" s="430">
        <f>+C80+C81+C82</f>
        <v>1290.6600000000001</v>
      </c>
      <c r="D79" s="455">
        <f>+D80+D81+D82</f>
        <v>1950</v>
      </c>
      <c r="E79" s="274">
        <f>+E80+E81+E82</f>
        <v>653.04999999999995</v>
      </c>
      <c r="F79" s="455">
        <f>+F80+F81+F82</f>
        <v>1950</v>
      </c>
      <c r="G79" s="292">
        <f t="shared" ref="G79:G153" si="38">+D79/F79</f>
        <v>1</v>
      </c>
      <c r="H79" s="489">
        <f t="shared" ref="H79:H84" si="39">+F79/C79</f>
        <v>1.5108549114406582</v>
      </c>
      <c r="I79" s="349"/>
      <c r="J79" s="347">
        <f>+J80+J81+J82</f>
        <v>1950</v>
      </c>
      <c r="K79" s="291"/>
      <c r="L79" s="291">
        <f t="shared" si="16"/>
        <v>1950</v>
      </c>
      <c r="M79" s="348">
        <f>+J79/L79</f>
        <v>1</v>
      </c>
      <c r="N79" s="392"/>
      <c r="O79" s="430">
        <f>+O80+O81+O82</f>
        <v>950</v>
      </c>
      <c r="P79" s="455">
        <f t="shared" ref="P79:W79" si="40">SUM(P80:P82)</f>
        <v>0</v>
      </c>
      <c r="Q79" s="455">
        <f t="shared" si="40"/>
        <v>0</v>
      </c>
      <c r="R79" s="455">
        <f t="shared" si="40"/>
        <v>0</v>
      </c>
      <c r="S79" s="455">
        <f t="shared" si="40"/>
        <v>0</v>
      </c>
      <c r="T79" s="455">
        <f t="shared" si="40"/>
        <v>1000</v>
      </c>
      <c r="U79" s="455">
        <f t="shared" si="40"/>
        <v>0</v>
      </c>
      <c r="V79" s="455">
        <f t="shared" si="40"/>
        <v>0</v>
      </c>
      <c r="W79" s="350">
        <f t="shared" si="40"/>
        <v>0</v>
      </c>
      <c r="X79" s="349">
        <f>SUM(X80:X82)</f>
        <v>950</v>
      </c>
      <c r="Y79" s="349">
        <f t="shared" ref="Y79:AF79" si="41">SUM(Y80:Y82)</f>
        <v>0</v>
      </c>
      <c r="Z79" s="349">
        <f t="shared" si="41"/>
        <v>0</v>
      </c>
      <c r="AA79" s="349">
        <f t="shared" si="41"/>
        <v>0</v>
      </c>
      <c r="AB79" s="349">
        <f t="shared" si="41"/>
        <v>0</v>
      </c>
      <c r="AC79" s="349">
        <f t="shared" si="41"/>
        <v>1000</v>
      </c>
      <c r="AD79" s="349">
        <f t="shared" si="41"/>
        <v>0</v>
      </c>
      <c r="AE79" s="349">
        <f t="shared" si="41"/>
        <v>0</v>
      </c>
      <c r="AF79" s="359">
        <f t="shared" si="41"/>
        <v>0</v>
      </c>
      <c r="AG79" s="293"/>
      <c r="AH79" s="293"/>
      <c r="AI79" s="293"/>
      <c r="AJ79" s="293"/>
      <c r="AK79" s="293"/>
      <c r="AL79" s="293"/>
      <c r="AM79" s="293"/>
      <c r="AN79" s="293"/>
      <c r="AO79" s="293"/>
      <c r="AP79" s="293"/>
      <c r="AQ79" s="293"/>
      <c r="AR79" s="293"/>
      <c r="AS79" s="293"/>
      <c r="AT79" s="293"/>
      <c r="AU79" s="293"/>
      <c r="AV79" s="293"/>
      <c r="AW79" s="293"/>
      <c r="AX79" s="293"/>
      <c r="AY79" s="293"/>
      <c r="AZ79" s="293"/>
      <c r="BA79" s="293"/>
      <c r="BB79" s="293"/>
      <c r="BC79" s="293"/>
      <c r="BD79" s="293"/>
      <c r="BE79" s="293"/>
      <c r="BF79" s="293"/>
      <c r="BG79" s="293"/>
      <c r="BH79" s="293"/>
      <c r="BI79" s="293"/>
      <c r="BJ79" s="293"/>
      <c r="BK79" s="293"/>
      <c r="BL79" s="293"/>
      <c r="BM79" s="293"/>
      <c r="BN79" s="293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  <c r="BZ79" s="293"/>
      <c r="CA79" s="293"/>
      <c r="CB79" s="293"/>
      <c r="CC79" s="293"/>
      <c r="CD79" s="293"/>
      <c r="CE79" s="293"/>
      <c r="CF79" s="293"/>
      <c r="CG79" s="293"/>
      <c r="CH79" s="293"/>
      <c r="CI79" s="293"/>
      <c r="CJ79" s="293"/>
      <c r="CK79" s="293"/>
      <c r="CL79" s="293"/>
      <c r="CM79" s="293"/>
      <c r="CN79" s="293"/>
      <c r="CO79" s="293"/>
      <c r="CP79" s="293"/>
      <c r="CQ79" s="293"/>
      <c r="CR79" s="293"/>
      <c r="CS79" s="293"/>
      <c r="CT79" s="293"/>
      <c r="CU79" s="293"/>
      <c r="CV79" s="293"/>
      <c r="CW79" s="293"/>
      <c r="CX79" s="293"/>
      <c r="CY79" s="293"/>
    </row>
    <row r="80" spans="1:103" outlineLevel="1" x14ac:dyDescent="0.25">
      <c r="A80" s="358" t="s">
        <v>985</v>
      </c>
      <c r="B80" s="475" t="s">
        <v>1002</v>
      </c>
      <c r="C80" s="431">
        <v>216.84</v>
      </c>
      <c r="D80" s="119">
        <f>+J80</f>
        <v>1250</v>
      </c>
      <c r="E80" s="110">
        <v>200.91</v>
      </c>
      <c r="F80" s="119">
        <f>+L80</f>
        <v>1250</v>
      </c>
      <c r="G80" s="294">
        <f t="shared" si="38"/>
        <v>1</v>
      </c>
      <c r="H80" s="490">
        <f t="shared" si="39"/>
        <v>5.7646190739715921</v>
      </c>
      <c r="I80" s="290"/>
      <c r="J80" s="119">
        <f t="shared" si="20"/>
        <v>1250</v>
      </c>
      <c r="K80" s="290"/>
      <c r="L80" s="290">
        <f t="shared" si="16"/>
        <v>1250</v>
      </c>
      <c r="M80" s="354">
        <f>+J80/L80</f>
        <v>1</v>
      </c>
      <c r="N80" s="353"/>
      <c r="O80" s="431">
        <f>+X80</f>
        <v>250</v>
      </c>
      <c r="P80" s="119"/>
      <c r="Q80" s="119"/>
      <c r="R80" s="119"/>
      <c r="S80" s="119"/>
      <c r="T80" s="119">
        <f>+AC80</f>
        <v>1000</v>
      </c>
      <c r="U80" s="119"/>
      <c r="V80" s="119"/>
      <c r="W80" s="356"/>
      <c r="X80" s="290">
        <v>250</v>
      </c>
      <c r="Y80" s="119"/>
      <c r="Z80" s="119"/>
      <c r="AA80" s="119"/>
      <c r="AB80" s="119"/>
      <c r="AC80" s="119">
        <v>1000</v>
      </c>
      <c r="AD80" s="119"/>
      <c r="AE80" s="355"/>
      <c r="AF80" s="356"/>
    </row>
    <row r="81" spans="1:103" outlineLevel="1" x14ac:dyDescent="0.25">
      <c r="A81" s="352" t="s">
        <v>986</v>
      </c>
      <c r="B81" s="475" t="s">
        <v>1001</v>
      </c>
      <c r="C81" s="431">
        <v>268.13</v>
      </c>
      <c r="D81" s="119">
        <f>+J81</f>
        <v>400</v>
      </c>
      <c r="E81" s="110">
        <v>452.14</v>
      </c>
      <c r="F81" s="119">
        <f>+L81</f>
        <v>400</v>
      </c>
      <c r="G81" s="294">
        <f t="shared" si="38"/>
        <v>1</v>
      </c>
      <c r="H81" s="490">
        <f t="shared" si="39"/>
        <v>1.4918136724723083</v>
      </c>
      <c r="I81" s="290"/>
      <c r="J81" s="119">
        <f t="shared" si="20"/>
        <v>400</v>
      </c>
      <c r="K81" s="290"/>
      <c r="L81" s="290">
        <f t="shared" si="16"/>
        <v>400</v>
      </c>
      <c r="M81" s="354">
        <f>+J81/L81</f>
        <v>1</v>
      </c>
      <c r="N81" s="353"/>
      <c r="O81" s="431">
        <f>+X81</f>
        <v>400</v>
      </c>
      <c r="P81" s="119"/>
      <c r="Q81" s="119"/>
      <c r="R81" s="119"/>
      <c r="S81" s="119"/>
      <c r="T81" s="119"/>
      <c r="U81" s="119"/>
      <c r="V81" s="119"/>
      <c r="W81" s="356"/>
      <c r="X81" s="290">
        <v>400</v>
      </c>
      <c r="Y81" s="119"/>
      <c r="Z81" s="119"/>
      <c r="AA81" s="119"/>
      <c r="AB81" s="119"/>
      <c r="AC81" s="119"/>
      <c r="AD81" s="119"/>
      <c r="AE81" s="355"/>
      <c r="AF81" s="356"/>
    </row>
    <row r="82" spans="1:103" outlineLevel="1" x14ac:dyDescent="0.25">
      <c r="A82" s="352" t="s">
        <v>1038</v>
      </c>
      <c r="B82" s="475" t="s">
        <v>47</v>
      </c>
      <c r="C82" s="431">
        <v>805.69</v>
      </c>
      <c r="D82" s="119">
        <f>+J82</f>
        <v>300</v>
      </c>
      <c r="E82" s="110"/>
      <c r="F82" s="119">
        <f>+L82</f>
        <v>300</v>
      </c>
      <c r="G82" s="294">
        <f t="shared" si="38"/>
        <v>1</v>
      </c>
      <c r="H82" s="490">
        <f t="shared" si="39"/>
        <v>0.3723516488972185</v>
      </c>
      <c r="I82" s="290"/>
      <c r="J82" s="119">
        <f t="shared" si="20"/>
        <v>300</v>
      </c>
      <c r="K82" s="290"/>
      <c r="L82" s="290">
        <f t="shared" si="16"/>
        <v>300</v>
      </c>
      <c r="M82" s="354">
        <f>+J82/L82</f>
        <v>1</v>
      </c>
      <c r="N82" s="353"/>
      <c r="O82" s="431">
        <f>+X82</f>
        <v>300</v>
      </c>
      <c r="P82" s="119"/>
      <c r="Q82" s="119"/>
      <c r="R82" s="119"/>
      <c r="S82" s="119"/>
      <c r="T82" s="119"/>
      <c r="U82" s="119"/>
      <c r="V82" s="119"/>
      <c r="W82" s="356"/>
      <c r="X82" s="290">
        <v>300</v>
      </c>
      <c r="Y82" s="119"/>
      <c r="Z82" s="119"/>
      <c r="AA82" s="119"/>
      <c r="AB82" s="119"/>
      <c r="AC82" s="119"/>
      <c r="AD82" s="119"/>
      <c r="AE82" s="355"/>
      <c r="AF82" s="356"/>
    </row>
    <row r="83" spans="1:103" s="351" customFormat="1" ht="15.75" outlineLevel="1" x14ac:dyDescent="0.25">
      <c r="A83" s="360" t="s">
        <v>1013</v>
      </c>
      <c r="B83" s="474" t="s">
        <v>388</v>
      </c>
      <c r="C83" s="430">
        <f>+C84+C85+C86+C87+C99+C88</f>
        <v>19292.340000000004</v>
      </c>
      <c r="D83" s="455">
        <f>SUM(D84:D99)</f>
        <v>107400.33</v>
      </c>
      <c r="E83" s="274">
        <f>SUM(E84:E99)</f>
        <v>10253.33</v>
      </c>
      <c r="F83" s="455">
        <f>+F84+F85+F86+F87+F99+F88</f>
        <v>34550</v>
      </c>
      <c r="G83" s="292">
        <f t="shared" si="38"/>
        <v>3.108547901591896</v>
      </c>
      <c r="H83" s="489">
        <f t="shared" si="39"/>
        <v>1.7908662194425349</v>
      </c>
      <c r="I83" s="349"/>
      <c r="J83" s="347">
        <f>SUM(J84:J99)</f>
        <v>99666.4</v>
      </c>
      <c r="K83" s="291"/>
      <c r="L83" s="291">
        <f t="shared" si="16"/>
        <v>35550</v>
      </c>
      <c r="M83" s="348">
        <f>+J83/L83</f>
        <v>2.8035555555555556</v>
      </c>
      <c r="N83" s="392"/>
      <c r="O83" s="430">
        <f t="shared" ref="O83:W83" si="42">SUM(O84:O99)</f>
        <v>3300</v>
      </c>
      <c r="P83" s="455">
        <f t="shared" si="42"/>
        <v>9630</v>
      </c>
      <c r="Q83" s="455">
        <f t="shared" si="42"/>
        <v>21600</v>
      </c>
      <c r="R83" s="455">
        <f t="shared" si="42"/>
        <v>0</v>
      </c>
      <c r="S83" s="455">
        <f t="shared" si="42"/>
        <v>0</v>
      </c>
      <c r="T83" s="455">
        <f t="shared" si="42"/>
        <v>4000</v>
      </c>
      <c r="U83" s="455">
        <f t="shared" si="42"/>
        <v>0</v>
      </c>
      <c r="V83" s="455">
        <f t="shared" si="42"/>
        <v>24230</v>
      </c>
      <c r="W83" s="350">
        <f t="shared" si="42"/>
        <v>36906.400000000001</v>
      </c>
      <c r="X83" s="349">
        <f t="shared" ref="X83:AF83" si="43">SUM(X85:X99)</f>
        <v>2750</v>
      </c>
      <c r="Y83" s="349">
        <f t="shared" si="43"/>
        <v>0</v>
      </c>
      <c r="Z83" s="349">
        <f t="shared" si="43"/>
        <v>0</v>
      </c>
      <c r="AA83" s="349">
        <f t="shared" si="43"/>
        <v>0</v>
      </c>
      <c r="AB83" s="349">
        <f t="shared" si="43"/>
        <v>0</v>
      </c>
      <c r="AC83" s="349">
        <f t="shared" si="43"/>
        <v>0</v>
      </c>
      <c r="AD83" s="349">
        <f t="shared" si="43"/>
        <v>2500</v>
      </c>
      <c r="AE83" s="349">
        <f t="shared" si="43"/>
        <v>5500</v>
      </c>
      <c r="AF83" s="359">
        <f t="shared" si="43"/>
        <v>24800</v>
      </c>
      <c r="AG83" s="293"/>
      <c r="AH83" s="293"/>
      <c r="AI83" s="293"/>
      <c r="AJ83" s="293"/>
      <c r="AK83" s="293"/>
      <c r="AL83" s="293"/>
      <c r="AM83" s="293"/>
      <c r="AN83" s="293"/>
      <c r="AO83" s="293"/>
      <c r="AP83" s="293"/>
      <c r="AQ83" s="293"/>
      <c r="AR83" s="293"/>
      <c r="AS83" s="293"/>
      <c r="AT83" s="293"/>
      <c r="AU83" s="293"/>
      <c r="AV83" s="293"/>
      <c r="AW83" s="293"/>
      <c r="AX83" s="293"/>
      <c r="AY83" s="293"/>
      <c r="AZ83" s="293"/>
      <c r="BA83" s="293"/>
      <c r="BB83" s="293"/>
      <c r="BC83" s="293"/>
      <c r="BD83" s="293"/>
      <c r="BE83" s="293"/>
      <c r="BF83" s="293"/>
      <c r="BG83" s="293"/>
      <c r="BH83" s="293"/>
      <c r="BI83" s="293"/>
      <c r="BJ83" s="293"/>
      <c r="BK83" s="293"/>
      <c r="BL83" s="293"/>
      <c r="BM83" s="293"/>
      <c r="BN83" s="293"/>
      <c r="BO83" s="293"/>
      <c r="BP83" s="293"/>
      <c r="BQ83" s="293"/>
      <c r="BR83" s="293"/>
      <c r="BS83" s="293"/>
      <c r="BT83" s="293"/>
      <c r="BU83" s="293"/>
      <c r="BV83" s="293"/>
      <c r="BW83" s="293"/>
      <c r="BX83" s="293"/>
      <c r="BY83" s="293"/>
      <c r="BZ83" s="293"/>
      <c r="CA83" s="293"/>
      <c r="CB83" s="293"/>
      <c r="CC83" s="293"/>
      <c r="CD83" s="293"/>
      <c r="CE83" s="293"/>
      <c r="CF83" s="293"/>
      <c r="CG83" s="293"/>
      <c r="CH83" s="293"/>
      <c r="CI83" s="293"/>
      <c r="CJ83" s="293"/>
      <c r="CK83" s="293"/>
      <c r="CL83" s="293"/>
      <c r="CM83" s="293"/>
      <c r="CN83" s="293"/>
      <c r="CO83" s="293"/>
      <c r="CP83" s="293"/>
      <c r="CQ83" s="293"/>
      <c r="CR83" s="293"/>
      <c r="CS83" s="293"/>
      <c r="CT83" s="293"/>
      <c r="CU83" s="293"/>
      <c r="CV83" s="293"/>
      <c r="CW83" s="293"/>
      <c r="CX83" s="293"/>
      <c r="CY83" s="293"/>
    </row>
    <row r="84" spans="1:103" outlineLevel="1" x14ac:dyDescent="0.25">
      <c r="A84" s="361" t="s">
        <v>1014</v>
      </c>
      <c r="B84" s="477" t="s">
        <v>1196</v>
      </c>
      <c r="C84" s="431">
        <f>35597.16-16304.82</f>
        <v>19292.340000000004</v>
      </c>
      <c r="D84" s="119">
        <v>0</v>
      </c>
      <c r="E84" s="110"/>
      <c r="F84" s="119"/>
      <c r="G84" s="294"/>
      <c r="H84" s="490">
        <f t="shared" si="39"/>
        <v>0</v>
      </c>
      <c r="I84" s="290"/>
      <c r="J84" s="119"/>
      <c r="K84" s="290"/>
      <c r="L84" s="290">
        <f t="shared" si="16"/>
        <v>0</v>
      </c>
      <c r="M84" s="354"/>
      <c r="N84" s="353"/>
      <c r="O84" s="431"/>
      <c r="P84" s="119"/>
      <c r="Q84" s="119"/>
      <c r="R84" s="119"/>
      <c r="S84" s="119"/>
      <c r="T84" s="119"/>
      <c r="U84" s="119"/>
      <c r="V84" s="119"/>
      <c r="W84" s="356"/>
      <c r="X84" s="290"/>
      <c r="Y84" s="290"/>
      <c r="Z84" s="290"/>
      <c r="AA84" s="290"/>
      <c r="AB84" s="290"/>
      <c r="AC84" s="290"/>
      <c r="AD84" s="290"/>
      <c r="AE84" s="119"/>
      <c r="AF84" s="362"/>
    </row>
    <row r="85" spans="1:103" outlineLevel="1" x14ac:dyDescent="0.25">
      <c r="A85" s="352" t="s">
        <v>1294</v>
      </c>
      <c r="B85" s="475" t="s">
        <v>1295</v>
      </c>
      <c r="C85" s="431"/>
      <c r="D85" s="119">
        <f t="shared" ref="D85:D90" si="44">+J85</f>
        <v>21230</v>
      </c>
      <c r="E85" s="110">
        <v>8342.24</v>
      </c>
      <c r="F85" s="119">
        <f>+L85</f>
        <v>30000</v>
      </c>
      <c r="G85" s="294">
        <f t="shared" si="38"/>
        <v>0.70766666666666667</v>
      </c>
      <c r="H85" s="490"/>
      <c r="I85" s="290"/>
      <c r="J85" s="119">
        <f t="shared" si="20"/>
        <v>21230</v>
      </c>
      <c r="K85" s="290"/>
      <c r="L85" s="290">
        <f t="shared" si="16"/>
        <v>30000</v>
      </c>
      <c r="M85" s="354">
        <f>+J85/L85</f>
        <v>0.70766666666666667</v>
      </c>
      <c r="N85" s="353"/>
      <c r="O85" s="431">
        <f>+X85</f>
        <v>2000</v>
      </c>
      <c r="P85" s="119"/>
      <c r="Q85" s="119"/>
      <c r="R85" s="119"/>
      <c r="S85" s="119"/>
      <c r="T85" s="119"/>
      <c r="U85" s="119"/>
      <c r="V85" s="119">
        <f>25000*0.25-2020</f>
        <v>4230</v>
      </c>
      <c r="W85" s="356">
        <f>25000*0.6</f>
        <v>15000</v>
      </c>
      <c r="X85" s="290">
        <v>2000</v>
      </c>
      <c r="Y85" s="290"/>
      <c r="Z85" s="290"/>
      <c r="AA85" s="290"/>
      <c r="AB85" s="290"/>
      <c r="AC85" s="290"/>
      <c r="AD85" s="290"/>
      <c r="AE85" s="119">
        <v>5500</v>
      </c>
      <c r="AF85" s="362">
        <v>22500</v>
      </c>
    </row>
    <row r="86" spans="1:103" outlineLevel="1" x14ac:dyDescent="0.25">
      <c r="A86" s="352" t="s">
        <v>1296</v>
      </c>
      <c r="B86" s="475" t="s">
        <v>1297</v>
      </c>
      <c r="C86" s="431"/>
      <c r="D86" s="119">
        <f t="shared" si="44"/>
        <v>300</v>
      </c>
      <c r="E86" s="110"/>
      <c r="F86" s="119">
        <f>+L86</f>
        <v>750</v>
      </c>
      <c r="G86" s="294">
        <f t="shared" si="38"/>
        <v>0.4</v>
      </c>
      <c r="H86" s="490"/>
      <c r="I86" s="290"/>
      <c r="J86" s="119">
        <f t="shared" si="20"/>
        <v>300</v>
      </c>
      <c r="K86" s="290"/>
      <c r="L86" s="290">
        <f t="shared" si="16"/>
        <v>750</v>
      </c>
      <c r="M86" s="354">
        <f>+J86/L86</f>
        <v>0.4</v>
      </c>
      <c r="N86" s="353"/>
      <c r="O86" s="431">
        <v>300</v>
      </c>
      <c r="P86" s="119"/>
      <c r="Q86" s="119"/>
      <c r="R86" s="119"/>
      <c r="S86" s="119"/>
      <c r="T86" s="119"/>
      <c r="U86" s="119"/>
      <c r="V86" s="119"/>
      <c r="W86" s="356"/>
      <c r="X86" s="290">
        <v>750</v>
      </c>
      <c r="Y86" s="290"/>
      <c r="Z86" s="290"/>
      <c r="AA86" s="290"/>
      <c r="AB86" s="290"/>
      <c r="AC86" s="290"/>
      <c r="AD86" s="290"/>
      <c r="AE86" s="119"/>
      <c r="AF86" s="362"/>
    </row>
    <row r="87" spans="1:103" outlineLevel="1" x14ac:dyDescent="0.25">
      <c r="A87" s="352" t="s">
        <v>1326</v>
      </c>
      <c r="B87" s="475" t="s">
        <v>1327</v>
      </c>
      <c r="C87" s="431"/>
      <c r="D87" s="119">
        <v>2000</v>
      </c>
      <c r="E87" s="110"/>
      <c r="F87" s="119">
        <v>1500</v>
      </c>
      <c r="G87" s="294">
        <f t="shared" si="38"/>
        <v>1.3333333333333333</v>
      </c>
      <c r="H87" s="490"/>
      <c r="I87" s="290"/>
      <c r="J87" s="119">
        <f t="shared" si="20"/>
        <v>0</v>
      </c>
      <c r="K87" s="290"/>
      <c r="L87" s="290">
        <f t="shared" si="16"/>
        <v>2500</v>
      </c>
      <c r="M87" s="354">
        <f>+J87/L87</f>
        <v>0</v>
      </c>
      <c r="N87" s="353"/>
      <c r="O87" s="431"/>
      <c r="P87" s="119"/>
      <c r="Q87" s="119"/>
      <c r="R87" s="119"/>
      <c r="S87" s="119"/>
      <c r="T87" s="119"/>
      <c r="U87" s="119"/>
      <c r="V87" s="119"/>
      <c r="W87" s="356"/>
      <c r="X87" s="290"/>
      <c r="Y87" s="290"/>
      <c r="Z87" s="290"/>
      <c r="AA87" s="290"/>
      <c r="AB87" s="290"/>
      <c r="AC87" s="290"/>
      <c r="AD87" s="290">
        <v>2500</v>
      </c>
      <c r="AE87" s="290"/>
      <c r="AF87" s="362"/>
    </row>
    <row r="88" spans="1:103" outlineLevel="1" x14ac:dyDescent="0.25">
      <c r="A88" s="352" t="s">
        <v>1334</v>
      </c>
      <c r="B88" s="475" t="s">
        <v>1335</v>
      </c>
      <c r="C88" s="431"/>
      <c r="D88" s="119">
        <f t="shared" si="44"/>
        <v>0</v>
      </c>
      <c r="E88" s="110">
        <v>103.94</v>
      </c>
      <c r="F88" s="119">
        <f>+L88</f>
        <v>2300</v>
      </c>
      <c r="G88" s="294">
        <f t="shared" si="38"/>
        <v>0</v>
      </c>
      <c r="H88" s="490"/>
      <c r="I88" s="290"/>
      <c r="J88" s="119">
        <f t="shared" si="20"/>
        <v>0</v>
      </c>
      <c r="K88" s="290"/>
      <c r="L88" s="290">
        <f t="shared" si="16"/>
        <v>2300</v>
      </c>
      <c r="M88" s="354">
        <f>+J88/L88</f>
        <v>0</v>
      </c>
      <c r="N88" s="353"/>
      <c r="O88" s="431"/>
      <c r="P88" s="119"/>
      <c r="Q88" s="119"/>
      <c r="R88" s="119"/>
      <c r="S88" s="119"/>
      <c r="T88" s="119"/>
      <c r="U88" s="119"/>
      <c r="V88" s="119"/>
      <c r="W88" s="356"/>
      <c r="X88" s="290"/>
      <c r="Y88" s="290"/>
      <c r="Z88" s="290"/>
      <c r="AA88" s="290"/>
      <c r="AB88" s="290"/>
      <c r="AC88" s="290"/>
      <c r="AD88" s="290"/>
      <c r="AE88" s="290"/>
      <c r="AF88" s="362">
        <v>2300</v>
      </c>
    </row>
    <row r="89" spans="1:103" outlineLevel="1" x14ac:dyDescent="0.25">
      <c r="A89" s="352" t="s">
        <v>1375</v>
      </c>
      <c r="B89" s="92" t="s">
        <v>1376</v>
      </c>
      <c r="C89" s="290"/>
      <c r="D89" s="119">
        <f t="shared" si="44"/>
        <v>15906.400000000001</v>
      </c>
      <c r="E89" s="110">
        <v>502.97</v>
      </c>
      <c r="F89" s="119"/>
      <c r="G89" s="294"/>
      <c r="H89" s="490"/>
      <c r="I89" s="290"/>
      <c r="J89" s="119">
        <f t="shared" si="20"/>
        <v>15906.400000000001</v>
      </c>
      <c r="K89" s="290"/>
      <c r="L89" s="290"/>
      <c r="M89" s="354"/>
      <c r="N89" s="353"/>
      <c r="O89" s="431"/>
      <c r="P89" s="119"/>
      <c r="Q89" s="119"/>
      <c r="R89" s="119"/>
      <c r="S89" s="119"/>
      <c r="T89" s="119"/>
      <c r="U89" s="119"/>
      <c r="V89" s="119"/>
      <c r="W89" s="356">
        <f>16409.4-503</f>
        <v>15906.400000000001</v>
      </c>
      <c r="X89" s="290"/>
      <c r="Y89" s="290"/>
      <c r="Z89" s="290"/>
      <c r="AA89" s="290"/>
      <c r="AB89" s="290"/>
      <c r="AC89" s="290"/>
      <c r="AD89" s="290"/>
      <c r="AE89" s="290"/>
      <c r="AF89" s="362"/>
    </row>
    <row r="90" spans="1:103" outlineLevel="1" x14ac:dyDescent="0.25">
      <c r="A90" s="352" t="s">
        <v>1377</v>
      </c>
      <c r="B90" s="92" t="s">
        <v>1378</v>
      </c>
      <c r="C90" s="290"/>
      <c r="D90" s="119">
        <f t="shared" si="44"/>
        <v>5000</v>
      </c>
      <c r="E90" s="110">
        <v>414.08</v>
      </c>
      <c r="F90" s="119"/>
      <c r="G90" s="294"/>
      <c r="H90" s="490"/>
      <c r="I90" s="290"/>
      <c r="J90" s="119">
        <f t="shared" si="20"/>
        <v>5000</v>
      </c>
      <c r="K90" s="290"/>
      <c r="L90" s="290"/>
      <c r="M90" s="354"/>
      <c r="N90" s="353"/>
      <c r="O90" s="431"/>
      <c r="P90" s="119"/>
      <c r="Q90" s="119"/>
      <c r="R90" s="119"/>
      <c r="S90" s="119"/>
      <c r="T90" s="119"/>
      <c r="U90" s="119"/>
      <c r="V90" s="119"/>
      <c r="W90" s="356">
        <v>5000</v>
      </c>
      <c r="X90" s="290"/>
      <c r="Y90" s="290"/>
      <c r="Z90" s="290"/>
      <c r="AA90" s="290"/>
      <c r="AB90" s="290"/>
      <c r="AC90" s="290"/>
      <c r="AD90" s="290"/>
      <c r="AE90" s="290"/>
      <c r="AF90" s="362"/>
    </row>
    <row r="91" spans="1:103" outlineLevel="1" x14ac:dyDescent="0.25">
      <c r="A91" s="458" t="s">
        <v>1396</v>
      </c>
      <c r="B91" s="510" t="s">
        <v>1400</v>
      </c>
      <c r="C91" s="290"/>
      <c r="D91" s="119">
        <f>300+360+54.48+82.71+725.76+1090+620.98</f>
        <v>3233.93</v>
      </c>
      <c r="E91" s="110"/>
      <c r="F91" s="119"/>
      <c r="G91" s="294"/>
      <c r="H91" s="490"/>
      <c r="I91" s="290"/>
      <c r="J91" s="119">
        <f t="shared" si="20"/>
        <v>2500</v>
      </c>
      <c r="K91" s="290"/>
      <c r="L91" s="290"/>
      <c r="M91" s="354"/>
      <c r="N91" s="353"/>
      <c r="O91" s="431"/>
      <c r="P91" s="119">
        <f>500*5</f>
        <v>2500</v>
      </c>
      <c r="Q91" s="119"/>
      <c r="R91" s="119"/>
      <c r="S91" s="119"/>
      <c r="T91" s="119"/>
      <c r="U91" s="119"/>
      <c r="V91" s="119"/>
      <c r="W91" s="356"/>
      <c r="X91" s="290"/>
      <c r="Y91" s="290"/>
      <c r="Z91" s="290"/>
      <c r="AA91" s="290"/>
      <c r="AB91" s="290"/>
      <c r="AC91" s="290"/>
      <c r="AD91" s="290"/>
      <c r="AE91" s="290"/>
      <c r="AF91" s="362"/>
    </row>
    <row r="92" spans="1:103" outlineLevel="1" x14ac:dyDescent="0.25">
      <c r="A92" s="458" t="s">
        <v>1328</v>
      </c>
      <c r="B92" s="510" t="s">
        <v>1012</v>
      </c>
      <c r="C92" s="290"/>
      <c r="D92" s="119">
        <v>5000</v>
      </c>
      <c r="E92" s="110"/>
      <c r="F92" s="119"/>
      <c r="G92" s="294"/>
      <c r="H92" s="490"/>
      <c r="I92" s="290"/>
      <c r="J92" s="119">
        <f t="shared" si="20"/>
        <v>0</v>
      </c>
      <c r="K92" s="290"/>
      <c r="L92" s="290"/>
      <c r="M92" s="354"/>
      <c r="N92" s="353"/>
      <c r="O92" s="431"/>
      <c r="P92" s="119"/>
      <c r="Q92" s="119"/>
      <c r="R92" s="119"/>
      <c r="S92" s="119"/>
      <c r="T92" s="119"/>
      <c r="U92" s="119"/>
      <c r="V92" s="119"/>
      <c r="W92" s="356"/>
      <c r="X92" s="290"/>
      <c r="Y92" s="290"/>
      <c r="Z92" s="290"/>
      <c r="AA92" s="290"/>
      <c r="AB92" s="290"/>
      <c r="AC92" s="290"/>
      <c r="AD92" s="290"/>
      <c r="AE92" s="290"/>
      <c r="AF92" s="362"/>
    </row>
    <row r="93" spans="1:103" outlineLevel="1" x14ac:dyDescent="0.25">
      <c r="A93" s="458" t="s">
        <v>1436</v>
      </c>
      <c r="B93" s="510" t="s">
        <v>1399</v>
      </c>
      <c r="C93" s="290"/>
      <c r="D93" s="119">
        <f>+J93</f>
        <v>23520</v>
      </c>
      <c r="E93" s="110"/>
      <c r="F93" s="119"/>
      <c r="G93" s="294"/>
      <c r="H93" s="490"/>
      <c r="I93" s="290"/>
      <c r="J93" s="119">
        <f t="shared" si="20"/>
        <v>23520</v>
      </c>
      <c r="K93" s="290"/>
      <c r="L93" s="290"/>
      <c r="M93" s="354"/>
      <c r="N93" s="353"/>
      <c r="O93" s="431"/>
      <c r="P93" s="119"/>
      <c r="Q93" s="119">
        <v>19520</v>
      </c>
      <c r="R93" s="119"/>
      <c r="S93" s="119"/>
      <c r="T93" s="119">
        <v>4000</v>
      </c>
      <c r="U93" s="119"/>
      <c r="V93" s="119"/>
      <c r="W93" s="356"/>
      <c r="X93" s="290"/>
      <c r="Y93" s="290"/>
      <c r="Z93" s="290"/>
      <c r="AA93" s="290"/>
      <c r="AB93" s="290"/>
      <c r="AC93" s="290"/>
      <c r="AD93" s="290"/>
      <c r="AE93" s="290"/>
      <c r="AF93" s="362"/>
    </row>
    <row r="94" spans="1:103" outlineLevel="1" x14ac:dyDescent="0.25">
      <c r="A94" s="509" t="s">
        <v>1398</v>
      </c>
      <c r="B94" s="510" t="s">
        <v>1403</v>
      </c>
      <c r="C94" s="290"/>
      <c r="D94" s="119">
        <f>+J94</f>
        <v>3080</v>
      </c>
      <c r="E94" s="110"/>
      <c r="F94" s="119"/>
      <c r="G94" s="294"/>
      <c r="H94" s="490"/>
      <c r="I94" s="290"/>
      <c r="J94" s="119">
        <f t="shared" si="20"/>
        <v>3080</v>
      </c>
      <c r="K94" s="290"/>
      <c r="L94" s="290"/>
      <c r="M94" s="354"/>
      <c r="N94" s="353"/>
      <c r="O94" s="431">
        <v>1000</v>
      </c>
      <c r="P94" s="119"/>
      <c r="Q94" s="119">
        <v>2080</v>
      </c>
      <c r="R94" s="119"/>
      <c r="S94" s="119"/>
      <c r="T94" s="119"/>
      <c r="U94" s="119"/>
      <c r="V94" s="119"/>
      <c r="W94" s="356"/>
      <c r="X94" s="290"/>
      <c r="Y94" s="290"/>
      <c r="Z94" s="290"/>
      <c r="AA94" s="290"/>
      <c r="AB94" s="290"/>
      <c r="AC94" s="290"/>
      <c r="AD94" s="290"/>
      <c r="AE94" s="290"/>
      <c r="AF94" s="362"/>
    </row>
    <row r="95" spans="1:103" outlineLevel="1" x14ac:dyDescent="0.25">
      <c r="A95" s="509" t="s">
        <v>1401</v>
      </c>
      <c r="B95" s="523" t="s">
        <v>1430</v>
      </c>
      <c r="C95" s="290"/>
      <c r="D95" s="119">
        <v>20000</v>
      </c>
      <c r="E95" s="110"/>
      <c r="F95" s="119"/>
      <c r="G95" s="294"/>
      <c r="H95" s="490"/>
      <c r="I95" s="290"/>
      <c r="J95" s="119">
        <f t="shared" si="20"/>
        <v>20000</v>
      </c>
      <c r="K95" s="290"/>
      <c r="L95" s="290"/>
      <c r="M95" s="354"/>
      <c r="N95" s="353"/>
      <c r="O95" s="431"/>
      <c r="P95" s="119"/>
      <c r="Q95" s="119"/>
      <c r="R95" s="119"/>
      <c r="S95" s="119"/>
      <c r="T95" s="119"/>
      <c r="U95" s="119"/>
      <c r="V95" s="119">
        <v>20000</v>
      </c>
      <c r="W95" s="356"/>
      <c r="X95" s="290"/>
      <c r="Y95" s="290"/>
      <c r="Z95" s="290"/>
      <c r="AA95" s="290"/>
      <c r="AB95" s="290"/>
      <c r="AC95" s="290"/>
      <c r="AD95" s="290"/>
      <c r="AE95" s="290"/>
      <c r="AF95" s="362"/>
    </row>
    <row r="96" spans="1:103" outlineLevel="1" x14ac:dyDescent="0.25">
      <c r="A96" s="509" t="s">
        <v>1402</v>
      </c>
      <c r="B96" s="523" t="s">
        <v>1432</v>
      </c>
      <c r="C96" s="290"/>
      <c r="D96" s="119">
        <f>+J96</f>
        <v>4500</v>
      </c>
      <c r="E96" s="110"/>
      <c r="F96" s="119"/>
      <c r="G96" s="294"/>
      <c r="H96" s="490"/>
      <c r="I96" s="290"/>
      <c r="J96" s="119">
        <f t="shared" si="20"/>
        <v>4500</v>
      </c>
      <c r="K96" s="290"/>
      <c r="L96" s="290"/>
      <c r="M96" s="354"/>
      <c r="N96" s="353"/>
      <c r="O96" s="431"/>
      <c r="P96" s="119">
        <v>4500</v>
      </c>
      <c r="Q96" s="119"/>
      <c r="R96" s="119"/>
      <c r="S96" s="119"/>
      <c r="T96" s="119"/>
      <c r="U96" s="119"/>
      <c r="V96" s="119"/>
      <c r="W96" s="356"/>
      <c r="X96" s="290"/>
      <c r="Y96" s="290"/>
      <c r="Z96" s="290"/>
      <c r="AA96" s="290"/>
      <c r="AB96" s="290"/>
      <c r="AC96" s="290"/>
      <c r="AD96" s="290"/>
      <c r="AE96" s="290"/>
      <c r="AF96" s="362"/>
    </row>
    <row r="97" spans="1:103" outlineLevel="1" x14ac:dyDescent="0.25">
      <c r="A97" s="509" t="s">
        <v>1431</v>
      </c>
      <c r="B97" s="523" t="s">
        <v>1434</v>
      </c>
      <c r="C97" s="290"/>
      <c r="D97" s="119">
        <f>+J97</f>
        <v>2630</v>
      </c>
      <c r="E97" s="110"/>
      <c r="F97" s="119"/>
      <c r="G97" s="294"/>
      <c r="H97" s="490"/>
      <c r="I97" s="290"/>
      <c r="J97" s="119">
        <f t="shared" si="20"/>
        <v>2630</v>
      </c>
      <c r="K97" s="290"/>
      <c r="L97" s="290"/>
      <c r="M97" s="354"/>
      <c r="N97" s="353"/>
      <c r="O97" s="431"/>
      <c r="P97" s="119">
        <v>2630</v>
      </c>
      <c r="Q97" s="119"/>
      <c r="R97" s="119"/>
      <c r="S97" s="119"/>
      <c r="T97" s="119"/>
      <c r="U97" s="119"/>
      <c r="V97" s="119"/>
      <c r="W97" s="356"/>
      <c r="X97" s="290"/>
      <c r="Y97" s="290"/>
      <c r="Z97" s="290"/>
      <c r="AA97" s="290"/>
      <c r="AB97" s="290"/>
      <c r="AC97" s="290"/>
      <c r="AD97" s="290"/>
      <c r="AE97" s="290"/>
      <c r="AF97" s="362"/>
    </row>
    <row r="98" spans="1:103" outlineLevel="1" x14ac:dyDescent="0.25">
      <c r="A98" s="509" t="s">
        <v>1433</v>
      </c>
      <c r="B98" s="523" t="s">
        <v>1435</v>
      </c>
      <c r="C98" s="290"/>
      <c r="D98" s="119">
        <f>+J98</f>
        <v>1000</v>
      </c>
      <c r="E98" s="110"/>
      <c r="F98" s="119"/>
      <c r="G98" s="294"/>
      <c r="H98" s="490"/>
      <c r="I98" s="290"/>
      <c r="J98" s="119">
        <f t="shared" si="20"/>
        <v>1000</v>
      </c>
      <c r="K98" s="290"/>
      <c r="L98" s="290"/>
      <c r="M98" s="354"/>
      <c r="N98" s="353"/>
      <c r="O98" s="431"/>
      <c r="P98" s="119"/>
      <c r="Q98" s="119"/>
      <c r="R98" s="119"/>
      <c r="S98" s="119"/>
      <c r="T98" s="119"/>
      <c r="U98" s="119"/>
      <c r="V98" s="119"/>
      <c r="W98" s="356">
        <v>1000</v>
      </c>
      <c r="X98" s="290"/>
      <c r="Y98" s="290"/>
      <c r="Z98" s="290"/>
      <c r="AA98" s="290"/>
      <c r="AB98" s="290"/>
      <c r="AC98" s="290"/>
      <c r="AD98" s="290"/>
      <c r="AE98" s="290"/>
      <c r="AF98" s="362"/>
    </row>
    <row r="99" spans="1:103" outlineLevel="1" x14ac:dyDescent="0.25">
      <c r="A99" s="458" t="s">
        <v>1405</v>
      </c>
      <c r="B99" s="475" t="s">
        <v>47</v>
      </c>
      <c r="C99" s="431"/>
      <c r="D99" s="119">
        <f>+J99</f>
        <v>0</v>
      </c>
      <c r="E99" s="119">
        <v>890.1</v>
      </c>
      <c r="F99" s="119">
        <f>+L99</f>
        <v>0</v>
      </c>
      <c r="G99" s="294"/>
      <c r="H99" s="490"/>
      <c r="I99" s="290"/>
      <c r="J99" s="119">
        <f t="shared" si="20"/>
        <v>0</v>
      </c>
      <c r="K99" s="290"/>
      <c r="L99" s="290"/>
      <c r="M99" s="354"/>
      <c r="N99" s="353"/>
      <c r="O99" s="431"/>
      <c r="P99" s="119"/>
      <c r="Q99" s="119"/>
      <c r="R99" s="119"/>
      <c r="S99" s="119"/>
      <c r="T99" s="119"/>
      <c r="U99" s="119"/>
      <c r="V99" s="119"/>
      <c r="W99" s="356"/>
      <c r="X99" s="290"/>
      <c r="Y99" s="290"/>
      <c r="Z99" s="290"/>
      <c r="AA99" s="290"/>
      <c r="AB99" s="290"/>
      <c r="AC99" s="290"/>
      <c r="AD99" s="290"/>
      <c r="AE99" s="290"/>
      <c r="AF99" s="362"/>
    </row>
    <row r="100" spans="1:103" s="293" customFormat="1" ht="15.75" outlineLevel="1" x14ac:dyDescent="0.25">
      <c r="A100" s="360" t="s">
        <v>1298</v>
      </c>
      <c r="B100" s="474" t="s">
        <v>1300</v>
      </c>
      <c r="C100" s="430">
        <f>+C101+C102</f>
        <v>0</v>
      </c>
      <c r="D100" s="455">
        <f>+D101+D102</f>
        <v>600</v>
      </c>
      <c r="E100" s="274">
        <f>+E101+E102</f>
        <v>0</v>
      </c>
      <c r="F100" s="455">
        <f>+F101+F102</f>
        <v>700</v>
      </c>
      <c r="G100" s="292">
        <f t="shared" si="38"/>
        <v>0.8571428571428571</v>
      </c>
      <c r="H100" s="489"/>
      <c r="I100" s="349"/>
      <c r="J100" s="455">
        <f>+J101+J102</f>
        <v>600</v>
      </c>
      <c r="K100" s="349"/>
      <c r="L100" s="349">
        <f t="shared" si="16"/>
        <v>700</v>
      </c>
      <c r="M100" s="363">
        <f t="shared" ref="M100:M115" si="45">+J100/L100</f>
        <v>0.8571428571428571</v>
      </c>
      <c r="N100" s="346"/>
      <c r="O100" s="441">
        <f>+O101+O102</f>
        <v>600</v>
      </c>
      <c r="P100" s="455">
        <f t="shared" ref="P100:W100" si="46">+P101+P102</f>
        <v>0</v>
      </c>
      <c r="Q100" s="455">
        <f t="shared" si="46"/>
        <v>0</v>
      </c>
      <c r="R100" s="455">
        <f t="shared" si="46"/>
        <v>0</v>
      </c>
      <c r="S100" s="455">
        <f t="shared" si="46"/>
        <v>0</v>
      </c>
      <c r="T100" s="455">
        <f t="shared" si="46"/>
        <v>0</v>
      </c>
      <c r="U100" s="455">
        <f t="shared" si="46"/>
        <v>0</v>
      </c>
      <c r="V100" s="455">
        <f t="shared" si="46"/>
        <v>0</v>
      </c>
      <c r="W100" s="349">
        <f t="shared" si="46"/>
        <v>0</v>
      </c>
      <c r="X100" s="349">
        <f t="shared" ref="X100:AF100" si="47">+X101+X102</f>
        <v>700</v>
      </c>
      <c r="Y100" s="349">
        <f t="shared" si="47"/>
        <v>0</v>
      </c>
      <c r="Z100" s="349">
        <f t="shared" si="47"/>
        <v>0</v>
      </c>
      <c r="AA100" s="349">
        <f t="shared" si="47"/>
        <v>0</v>
      </c>
      <c r="AB100" s="349">
        <f t="shared" si="47"/>
        <v>0</v>
      </c>
      <c r="AC100" s="349">
        <f t="shared" si="47"/>
        <v>0</v>
      </c>
      <c r="AD100" s="349">
        <f t="shared" si="47"/>
        <v>0</v>
      </c>
      <c r="AE100" s="349">
        <f t="shared" si="47"/>
        <v>0</v>
      </c>
      <c r="AF100" s="359">
        <f t="shared" si="47"/>
        <v>0</v>
      </c>
    </row>
    <row r="101" spans="1:103" outlineLevel="1" x14ac:dyDescent="0.25">
      <c r="A101" s="352" t="s">
        <v>1299</v>
      </c>
      <c r="B101" s="475" t="s">
        <v>1301</v>
      </c>
      <c r="C101" s="431"/>
      <c r="D101" s="119">
        <f>+J101</f>
        <v>500</v>
      </c>
      <c r="E101" s="110"/>
      <c r="F101" s="119">
        <f>+L101</f>
        <v>500</v>
      </c>
      <c r="G101" s="294">
        <f t="shared" si="38"/>
        <v>1</v>
      </c>
      <c r="H101" s="490"/>
      <c r="I101" s="290"/>
      <c r="J101" s="119">
        <f t="shared" ref="J101:J109" si="48">+O101+P101+Q101+R101+S101+T101+U101+V101+W101</f>
        <v>500</v>
      </c>
      <c r="K101" s="290"/>
      <c r="L101" s="290">
        <f t="shared" si="16"/>
        <v>500</v>
      </c>
      <c r="M101" s="354">
        <f t="shared" si="45"/>
        <v>1</v>
      </c>
      <c r="N101" s="353"/>
      <c r="O101" s="431">
        <f>+X101</f>
        <v>500</v>
      </c>
      <c r="P101" s="119"/>
      <c r="Q101" s="119"/>
      <c r="R101" s="119"/>
      <c r="S101" s="119"/>
      <c r="T101" s="119"/>
      <c r="U101" s="119"/>
      <c r="V101" s="119"/>
      <c r="W101" s="356"/>
      <c r="X101" s="290">
        <v>500</v>
      </c>
      <c r="Y101" s="290"/>
      <c r="Z101" s="290"/>
      <c r="AA101" s="290"/>
      <c r="AB101" s="290"/>
      <c r="AC101" s="290"/>
      <c r="AD101" s="290"/>
      <c r="AE101" s="364"/>
      <c r="AF101" s="362"/>
    </row>
    <row r="102" spans="1:103" outlineLevel="1" x14ac:dyDescent="0.25">
      <c r="A102" s="352" t="s">
        <v>1302</v>
      </c>
      <c r="B102" s="475" t="s">
        <v>47</v>
      </c>
      <c r="C102" s="431"/>
      <c r="D102" s="119">
        <f>+J102</f>
        <v>100</v>
      </c>
      <c r="E102" s="110"/>
      <c r="F102" s="119">
        <f>+L102</f>
        <v>200</v>
      </c>
      <c r="G102" s="294">
        <f t="shared" si="38"/>
        <v>0.5</v>
      </c>
      <c r="H102" s="490"/>
      <c r="I102" s="290"/>
      <c r="J102" s="119">
        <f t="shared" si="48"/>
        <v>100</v>
      </c>
      <c r="K102" s="290"/>
      <c r="L102" s="290">
        <f t="shared" si="16"/>
        <v>200</v>
      </c>
      <c r="M102" s="354">
        <f t="shared" si="45"/>
        <v>0.5</v>
      </c>
      <c r="N102" s="353"/>
      <c r="O102" s="431">
        <v>100</v>
      </c>
      <c r="P102" s="119"/>
      <c r="Q102" s="119"/>
      <c r="R102" s="119"/>
      <c r="S102" s="119"/>
      <c r="T102" s="119"/>
      <c r="U102" s="119"/>
      <c r="V102" s="119"/>
      <c r="W102" s="356"/>
      <c r="X102" s="290">
        <v>200</v>
      </c>
      <c r="Y102" s="290"/>
      <c r="Z102" s="290"/>
      <c r="AA102" s="290"/>
      <c r="AB102" s="290"/>
      <c r="AC102" s="290"/>
      <c r="AD102" s="290"/>
      <c r="AE102" s="364"/>
      <c r="AF102" s="362"/>
    </row>
    <row r="103" spans="1:103" ht="15.75" outlineLevel="1" x14ac:dyDescent="0.25">
      <c r="A103" s="360" t="s">
        <v>1313</v>
      </c>
      <c r="B103" s="474" t="s">
        <v>1321</v>
      </c>
      <c r="C103" s="432">
        <f>SUM(C104:C105)</f>
        <v>0</v>
      </c>
      <c r="D103" s="365">
        <f>SUM(D104:D105)</f>
        <v>1500</v>
      </c>
      <c r="E103" s="17">
        <f>SUM(E104:E105)</f>
        <v>1066.76</v>
      </c>
      <c r="F103" s="365">
        <f>SUM(F104:F105)</f>
        <v>2000</v>
      </c>
      <c r="G103" s="366">
        <f t="shared" si="38"/>
        <v>0.75</v>
      </c>
      <c r="H103" s="491"/>
      <c r="I103" s="368"/>
      <c r="J103" s="365">
        <f>+J104+J105</f>
        <v>1500</v>
      </c>
      <c r="K103" s="368"/>
      <c r="L103" s="368">
        <f t="shared" si="16"/>
        <v>2000</v>
      </c>
      <c r="M103" s="369">
        <f t="shared" si="45"/>
        <v>0.75</v>
      </c>
      <c r="N103" s="367"/>
      <c r="O103" s="432">
        <f>+O104+O105</f>
        <v>500</v>
      </c>
      <c r="P103" s="365">
        <f t="shared" ref="P103:AF103" si="49">SUM(P104:P105)</f>
        <v>1000</v>
      </c>
      <c r="Q103" s="365">
        <f t="shared" si="49"/>
        <v>0</v>
      </c>
      <c r="R103" s="365">
        <f t="shared" si="49"/>
        <v>0</v>
      </c>
      <c r="S103" s="365">
        <f t="shared" si="49"/>
        <v>0</v>
      </c>
      <c r="T103" s="365">
        <f t="shared" si="49"/>
        <v>0</v>
      </c>
      <c r="U103" s="365">
        <f t="shared" si="49"/>
        <v>0</v>
      </c>
      <c r="V103" s="365">
        <f t="shared" si="49"/>
        <v>0</v>
      </c>
      <c r="W103" s="497">
        <f t="shared" si="49"/>
        <v>0</v>
      </c>
      <c r="X103" s="368">
        <f t="shared" si="49"/>
        <v>500</v>
      </c>
      <c r="Y103" s="368">
        <f t="shared" si="49"/>
        <v>1500</v>
      </c>
      <c r="Z103" s="368">
        <f t="shared" si="49"/>
        <v>0</v>
      </c>
      <c r="AA103" s="368">
        <f t="shared" si="49"/>
        <v>0</v>
      </c>
      <c r="AB103" s="368">
        <f t="shared" si="49"/>
        <v>0</v>
      </c>
      <c r="AC103" s="368">
        <f t="shared" si="49"/>
        <v>0</v>
      </c>
      <c r="AD103" s="368">
        <f t="shared" si="49"/>
        <v>0</v>
      </c>
      <c r="AE103" s="368">
        <f t="shared" si="49"/>
        <v>0</v>
      </c>
      <c r="AF103" s="370">
        <f t="shared" si="49"/>
        <v>0</v>
      </c>
    </row>
    <row r="104" spans="1:103" ht="15.75" outlineLevel="1" x14ac:dyDescent="0.25">
      <c r="A104" s="352" t="s">
        <v>1314</v>
      </c>
      <c r="B104" s="475" t="s">
        <v>1322</v>
      </c>
      <c r="C104" s="431"/>
      <c r="D104" s="119">
        <f>+J104</f>
        <v>1000</v>
      </c>
      <c r="E104" s="110">
        <f>89.06+380+597.7</f>
        <v>1066.76</v>
      </c>
      <c r="F104" s="119">
        <v>1500</v>
      </c>
      <c r="G104" s="294">
        <f t="shared" si="38"/>
        <v>0.66666666666666663</v>
      </c>
      <c r="H104" s="490"/>
      <c r="I104" s="290"/>
      <c r="J104" s="371">
        <f t="shared" si="48"/>
        <v>1000</v>
      </c>
      <c r="K104" s="511"/>
      <c r="L104" s="290">
        <f t="shared" si="16"/>
        <v>1500</v>
      </c>
      <c r="M104" s="372">
        <f t="shared" si="45"/>
        <v>0.66666666666666663</v>
      </c>
      <c r="N104" s="438"/>
      <c r="O104" s="431"/>
      <c r="P104" s="119">
        <v>1000</v>
      </c>
      <c r="Q104" s="119"/>
      <c r="R104" s="119"/>
      <c r="S104" s="119"/>
      <c r="T104" s="119"/>
      <c r="U104" s="119"/>
      <c r="V104" s="119"/>
      <c r="W104" s="356"/>
      <c r="X104" s="290"/>
      <c r="Y104" s="290">
        <v>1500</v>
      </c>
      <c r="Z104" s="290"/>
      <c r="AA104" s="290"/>
      <c r="AB104" s="290"/>
      <c r="AC104" s="290"/>
      <c r="AD104" s="290"/>
      <c r="AE104" s="364"/>
      <c r="AF104" s="362"/>
    </row>
    <row r="105" spans="1:103" ht="15.75" outlineLevel="1" x14ac:dyDescent="0.25">
      <c r="A105" s="352" t="s">
        <v>1315</v>
      </c>
      <c r="B105" s="475" t="s">
        <v>47</v>
      </c>
      <c r="C105" s="431"/>
      <c r="D105" s="119">
        <f>+J105</f>
        <v>500</v>
      </c>
      <c r="E105" s="110"/>
      <c r="F105" s="119">
        <f>+L105</f>
        <v>500</v>
      </c>
      <c r="G105" s="294">
        <f t="shared" si="38"/>
        <v>1</v>
      </c>
      <c r="H105" s="490"/>
      <c r="I105" s="290"/>
      <c r="J105" s="371">
        <f t="shared" si="48"/>
        <v>500</v>
      </c>
      <c r="K105" s="511"/>
      <c r="L105" s="290">
        <f t="shared" si="16"/>
        <v>500</v>
      </c>
      <c r="M105" s="372">
        <f t="shared" si="45"/>
        <v>1</v>
      </c>
      <c r="N105" s="438"/>
      <c r="O105" s="431">
        <f>+X105</f>
        <v>500</v>
      </c>
      <c r="P105" s="119"/>
      <c r="Q105" s="119"/>
      <c r="R105" s="119"/>
      <c r="S105" s="119"/>
      <c r="T105" s="119"/>
      <c r="U105" s="119"/>
      <c r="V105" s="119"/>
      <c r="W105" s="356"/>
      <c r="X105" s="290">
        <v>500</v>
      </c>
      <c r="Y105" s="290"/>
      <c r="Z105" s="290"/>
      <c r="AA105" s="290"/>
      <c r="AB105" s="290"/>
      <c r="AC105" s="290"/>
      <c r="AD105" s="290"/>
      <c r="AE105" s="364"/>
      <c r="AF105" s="362"/>
    </row>
    <row r="106" spans="1:103" ht="15.75" outlineLevel="1" x14ac:dyDescent="0.25">
      <c r="A106" s="360" t="s">
        <v>1413</v>
      </c>
      <c r="B106" s="474" t="s">
        <v>1404</v>
      </c>
      <c r="C106" s="430"/>
      <c r="D106" s="455">
        <f>+D107+D108+D109</f>
        <v>70000</v>
      </c>
      <c r="E106" s="274"/>
      <c r="F106" s="455"/>
      <c r="G106" s="292"/>
      <c r="H106" s="489"/>
      <c r="I106" s="349"/>
      <c r="J106" s="455">
        <f>+J107+J108+J109</f>
        <v>70000</v>
      </c>
      <c r="K106" s="349"/>
      <c r="L106" s="349"/>
      <c r="M106" s="363"/>
      <c r="N106" s="346"/>
      <c r="O106" s="441">
        <f>+O107+O108+O109</f>
        <v>4000</v>
      </c>
      <c r="P106" s="455">
        <f t="shared" ref="P106:W106" si="50">+P107+P108+P109</f>
        <v>11000</v>
      </c>
      <c r="Q106" s="455">
        <f t="shared" si="50"/>
        <v>2513</v>
      </c>
      <c r="R106" s="455">
        <f t="shared" si="50"/>
        <v>19487</v>
      </c>
      <c r="S106" s="455">
        <f t="shared" si="50"/>
        <v>0</v>
      </c>
      <c r="T106" s="455">
        <f t="shared" si="50"/>
        <v>33000</v>
      </c>
      <c r="U106" s="455">
        <f t="shared" si="50"/>
        <v>0</v>
      </c>
      <c r="V106" s="455">
        <f t="shared" si="50"/>
        <v>0</v>
      </c>
      <c r="W106" s="349">
        <f t="shared" si="50"/>
        <v>0</v>
      </c>
      <c r="X106" s="349"/>
      <c r="Y106" s="349"/>
      <c r="Z106" s="349"/>
      <c r="AA106" s="349"/>
      <c r="AB106" s="349"/>
      <c r="AC106" s="349"/>
      <c r="AD106" s="349"/>
      <c r="AE106" s="514"/>
      <c r="AF106" s="359"/>
    </row>
    <row r="107" spans="1:103" outlineLevel="1" x14ac:dyDescent="0.25">
      <c r="A107" s="515" t="s">
        <v>1437</v>
      </c>
      <c r="B107" s="516"/>
      <c r="C107" s="431"/>
      <c r="D107" s="119">
        <f>+J107</f>
        <v>70000</v>
      </c>
      <c r="E107" s="110"/>
      <c r="F107" s="119"/>
      <c r="G107" s="294"/>
      <c r="H107" s="490"/>
      <c r="I107" s="290"/>
      <c r="J107" s="119">
        <f t="shared" si="48"/>
        <v>70000</v>
      </c>
      <c r="K107" s="290"/>
      <c r="L107" s="290"/>
      <c r="M107" s="354"/>
      <c r="N107" s="353"/>
      <c r="O107" s="431">
        <v>4000</v>
      </c>
      <c r="P107" s="119">
        <v>11000</v>
      </c>
      <c r="Q107" s="119">
        <v>2513</v>
      </c>
      <c r="R107" s="119">
        <v>19487</v>
      </c>
      <c r="S107" s="119"/>
      <c r="T107" s="119">
        <v>33000</v>
      </c>
      <c r="U107" s="119"/>
      <c r="V107" s="119"/>
      <c r="W107" s="356"/>
      <c r="X107" s="290"/>
      <c r="Y107" s="290"/>
      <c r="Z107" s="290"/>
      <c r="AA107" s="290"/>
      <c r="AB107" s="290"/>
      <c r="AC107" s="290"/>
      <c r="AD107" s="290"/>
      <c r="AE107" s="364"/>
      <c r="AF107" s="362"/>
    </row>
    <row r="108" spans="1:103" outlineLevel="1" x14ac:dyDescent="0.25">
      <c r="A108" s="515" t="s">
        <v>1438</v>
      </c>
      <c r="B108" s="516"/>
      <c r="C108" s="431"/>
      <c r="D108" s="119">
        <f>+J108</f>
        <v>0</v>
      </c>
      <c r="E108" s="110"/>
      <c r="F108" s="119"/>
      <c r="G108" s="294"/>
      <c r="H108" s="490"/>
      <c r="I108" s="290"/>
      <c r="J108" s="119">
        <f t="shared" si="48"/>
        <v>0</v>
      </c>
      <c r="K108" s="290"/>
      <c r="L108" s="290"/>
      <c r="M108" s="354"/>
      <c r="N108" s="353"/>
      <c r="O108" s="431"/>
      <c r="P108" s="119"/>
      <c r="Q108" s="119"/>
      <c r="R108" s="119"/>
      <c r="S108" s="119"/>
      <c r="T108" s="119"/>
      <c r="U108" s="119"/>
      <c r="V108" s="119"/>
      <c r="W108" s="356"/>
      <c r="X108" s="290"/>
      <c r="Y108" s="290"/>
      <c r="Z108" s="290"/>
      <c r="AA108" s="290"/>
      <c r="AB108" s="290"/>
      <c r="AC108" s="290"/>
      <c r="AD108" s="290"/>
      <c r="AE108" s="364"/>
      <c r="AF108" s="362"/>
    </row>
    <row r="109" spans="1:103" outlineLevel="1" x14ac:dyDescent="0.25">
      <c r="A109" s="515" t="s">
        <v>1439</v>
      </c>
      <c r="B109" s="516"/>
      <c r="C109" s="431"/>
      <c r="D109" s="119">
        <f>+J109</f>
        <v>0</v>
      </c>
      <c r="E109" s="110"/>
      <c r="F109" s="119"/>
      <c r="G109" s="294"/>
      <c r="H109" s="490"/>
      <c r="I109" s="290"/>
      <c r="J109" s="119">
        <f t="shared" si="48"/>
        <v>0</v>
      </c>
      <c r="K109" s="290"/>
      <c r="L109" s="290"/>
      <c r="M109" s="354"/>
      <c r="N109" s="353"/>
      <c r="O109" s="431"/>
      <c r="P109" s="119"/>
      <c r="Q109" s="119"/>
      <c r="R109" s="119"/>
      <c r="S109" s="119"/>
      <c r="T109" s="119"/>
      <c r="U109" s="119"/>
      <c r="V109" s="119"/>
      <c r="W109" s="356"/>
      <c r="X109" s="290"/>
      <c r="Y109" s="290"/>
      <c r="Z109" s="290"/>
      <c r="AA109" s="290"/>
      <c r="AB109" s="290"/>
      <c r="AC109" s="290"/>
      <c r="AD109" s="290"/>
      <c r="AE109" s="364"/>
      <c r="AF109" s="362"/>
    </row>
    <row r="110" spans="1:103" s="344" customFormat="1" ht="21" x14ac:dyDescent="0.35">
      <c r="A110" s="373" t="s">
        <v>116</v>
      </c>
      <c r="B110" s="473" t="s">
        <v>0</v>
      </c>
      <c r="C110" s="429">
        <f>+C111+C118+C125+C131+C135+C139+C143+C147+C151+C155+C168+C173</f>
        <v>27242.959999999999</v>
      </c>
      <c r="D110" s="339">
        <f>+D111+D118+D125+D131+D135+D139+D143+D147+D151+D155+D168+D173</f>
        <v>31860</v>
      </c>
      <c r="E110" s="501">
        <f>+E111+E118+E125+E131+E135+E139+E143+E147+E151+E155+E168+E173</f>
        <v>25418.899999999998</v>
      </c>
      <c r="F110" s="339">
        <f>+F111+F118+F125+F131+F135+F139+F143+F147+F151+F155+F168+F173</f>
        <v>28317.5</v>
      </c>
      <c r="G110" s="340">
        <f t="shared" si="38"/>
        <v>1.1250993202083517</v>
      </c>
      <c r="H110" s="488">
        <f>+F110/C110</f>
        <v>1.0394428505566209</v>
      </c>
      <c r="I110" s="288">
        <v>19734</v>
      </c>
      <c r="J110" s="339">
        <f t="shared" si="20"/>
        <v>31860</v>
      </c>
      <c r="K110" s="288">
        <v>5843</v>
      </c>
      <c r="L110" s="288">
        <f t="shared" si="16"/>
        <v>28317.5</v>
      </c>
      <c r="M110" s="342">
        <f t="shared" si="45"/>
        <v>1.1250993202083517</v>
      </c>
      <c r="N110" s="341">
        <f>+L110/I110</f>
        <v>1.4349599675686633</v>
      </c>
      <c r="O110" s="429">
        <f>O111+O118+O125+O131+O135+O139+O143+O147+O151+O155+O168+O173</f>
        <v>23146</v>
      </c>
      <c r="P110" s="339">
        <f>P111+P118+P125+P131+P135+P139+P143+P147+P151+P155+P168+P173</f>
        <v>1000</v>
      </c>
      <c r="Q110" s="339">
        <f>Q111+Q118+Q125+Q131+Q135+Q139+Q143+Q147+Q151+Q155+Q168+Q173</f>
        <v>0</v>
      </c>
      <c r="R110" s="339">
        <f>R111+R118+R125+R131+R135+R139+R143+R147+R151+R155+R168+R173</f>
        <v>4514</v>
      </c>
      <c r="S110" s="339">
        <f>S111+S118+S125+S131+S135+S139+S143+S147+S151+S155+S168+S173</f>
        <v>0</v>
      </c>
      <c r="T110" s="339">
        <f t="shared" ref="T110:AB110" si="51">T111+T118+T125+T131+T135+T139+T143+T147+T151+T155+T168+T173</f>
        <v>0</v>
      </c>
      <c r="U110" s="339">
        <f t="shared" si="51"/>
        <v>0</v>
      </c>
      <c r="V110" s="339">
        <f t="shared" si="51"/>
        <v>2200</v>
      </c>
      <c r="W110" s="461">
        <f t="shared" si="51"/>
        <v>1000</v>
      </c>
      <c r="X110" s="288">
        <f>+X111+X118+X125+X131+X135+X143+X155+X168+X173+X139</f>
        <v>19603.5</v>
      </c>
      <c r="Y110" s="288">
        <f t="shared" si="51"/>
        <v>1000</v>
      </c>
      <c r="Z110" s="288">
        <f t="shared" si="51"/>
        <v>0</v>
      </c>
      <c r="AA110" s="288">
        <f t="shared" si="51"/>
        <v>4514</v>
      </c>
      <c r="AB110" s="288">
        <f t="shared" si="51"/>
        <v>0</v>
      </c>
      <c r="AC110" s="288">
        <f>AC111+AC118+AC125+AC131+AC135+AC139+AC143+AC147+AC151+AC155+AC168+AC173</f>
        <v>0</v>
      </c>
      <c r="AD110" s="288">
        <f>AD111+AD118+AD125+AD131+AD135+AD139+AD143+AD147+AD151+AD155+AD168+AD173</f>
        <v>0</v>
      </c>
      <c r="AE110" s="288">
        <f>AE111+AE118+AE125+AE131+AE135+AE139+AE143+AE147+AE151+AE155+AE168+AE173</f>
        <v>2200</v>
      </c>
      <c r="AF110" s="289">
        <f>AF111+AF118+AF125+AF131+AF135+AF139+AF143+AF147+AF151+AF155+AF168+AF173</f>
        <v>1000</v>
      </c>
      <c r="AG110" s="343"/>
      <c r="AH110" s="343"/>
      <c r="AI110" s="343"/>
      <c r="AJ110" s="343"/>
      <c r="AK110" s="343"/>
      <c r="AL110" s="343"/>
      <c r="AM110" s="343"/>
      <c r="AN110" s="343"/>
      <c r="AO110" s="343"/>
      <c r="AP110" s="343"/>
      <c r="AQ110" s="343"/>
      <c r="AR110" s="343"/>
      <c r="AS110" s="343"/>
      <c r="AT110" s="343"/>
      <c r="AU110" s="343"/>
      <c r="AV110" s="343"/>
      <c r="AW110" s="343"/>
      <c r="AX110" s="343"/>
      <c r="AY110" s="343"/>
      <c r="AZ110" s="343"/>
      <c r="BA110" s="343"/>
      <c r="BB110" s="343"/>
      <c r="BC110" s="343"/>
      <c r="BD110" s="343"/>
      <c r="BE110" s="343"/>
      <c r="BF110" s="343"/>
      <c r="BG110" s="343"/>
      <c r="BH110" s="343"/>
      <c r="BI110" s="343"/>
      <c r="BJ110" s="343"/>
      <c r="BK110" s="343"/>
      <c r="BL110" s="343"/>
      <c r="BM110" s="343"/>
      <c r="BN110" s="343"/>
      <c r="BO110" s="343"/>
      <c r="BP110" s="343"/>
      <c r="BQ110" s="343"/>
      <c r="BR110" s="343"/>
      <c r="BS110" s="343"/>
      <c r="BT110" s="343"/>
      <c r="BU110" s="343"/>
      <c r="BV110" s="343"/>
      <c r="BW110" s="343"/>
      <c r="BX110" s="343"/>
      <c r="BY110" s="343"/>
      <c r="BZ110" s="343"/>
      <c r="CA110" s="343"/>
      <c r="CB110" s="343"/>
      <c r="CC110" s="343"/>
      <c r="CD110" s="343"/>
      <c r="CE110" s="343"/>
      <c r="CF110" s="343"/>
      <c r="CG110" s="343"/>
      <c r="CH110" s="343"/>
      <c r="CI110" s="343"/>
      <c r="CJ110" s="343"/>
      <c r="CK110" s="343"/>
      <c r="CL110" s="343"/>
      <c r="CM110" s="343"/>
      <c r="CN110" s="343"/>
      <c r="CO110" s="343"/>
      <c r="CP110" s="343"/>
      <c r="CQ110" s="343"/>
      <c r="CR110" s="343"/>
      <c r="CS110" s="343"/>
      <c r="CT110" s="343"/>
      <c r="CU110" s="343"/>
      <c r="CV110" s="343"/>
      <c r="CW110" s="343"/>
      <c r="CX110" s="343"/>
      <c r="CY110" s="343"/>
    </row>
    <row r="111" spans="1:103" s="351" customFormat="1" ht="15.75" x14ac:dyDescent="0.25">
      <c r="A111" s="345" t="s">
        <v>117</v>
      </c>
      <c r="B111" s="474" t="s">
        <v>696</v>
      </c>
      <c r="C111" s="430">
        <f>+SUM(C112:C117)</f>
        <v>11282.800000000001</v>
      </c>
      <c r="D111" s="455">
        <f>+SUM(D112:D117)</f>
        <v>10770</v>
      </c>
      <c r="E111" s="274">
        <f>+SUM(E112:E117)</f>
        <v>9384.36</v>
      </c>
      <c r="F111" s="455">
        <f>+SUM(F112:F117)</f>
        <v>9620</v>
      </c>
      <c r="G111" s="292">
        <f t="shared" si="38"/>
        <v>1.1195426195426195</v>
      </c>
      <c r="H111" s="489">
        <f>+F111/C111</f>
        <v>0.85262523487077668</v>
      </c>
      <c r="I111" s="349"/>
      <c r="J111" s="347">
        <f>SUM(J112:J117)</f>
        <v>10770</v>
      </c>
      <c r="K111" s="291"/>
      <c r="L111" s="291">
        <f t="shared" ref="L111:L174" si="52">+X111+Y111+Z111+AA111+AB111+AC111+AD111+AE111+AF111</f>
        <v>9620</v>
      </c>
      <c r="M111" s="348">
        <f t="shared" si="45"/>
        <v>1.1195426195426195</v>
      </c>
      <c r="N111" s="392"/>
      <c r="O111" s="430">
        <f>SUM(O112:O117)</f>
        <v>6806</v>
      </c>
      <c r="P111" s="455">
        <f t="shared" ref="P111:AF111" si="53">SUM(P112:P117)</f>
        <v>0</v>
      </c>
      <c r="Q111" s="455">
        <f t="shared" si="53"/>
        <v>0</v>
      </c>
      <c r="R111" s="455">
        <f t="shared" si="53"/>
        <v>3464</v>
      </c>
      <c r="S111" s="455">
        <f t="shared" si="53"/>
        <v>0</v>
      </c>
      <c r="T111" s="455">
        <f t="shared" si="53"/>
        <v>0</v>
      </c>
      <c r="U111" s="455">
        <f t="shared" si="53"/>
        <v>0</v>
      </c>
      <c r="V111" s="455">
        <f t="shared" si="53"/>
        <v>500</v>
      </c>
      <c r="W111" s="350">
        <f t="shared" si="53"/>
        <v>0</v>
      </c>
      <c r="X111" s="349">
        <f t="shared" si="53"/>
        <v>5656</v>
      </c>
      <c r="Y111" s="455">
        <f t="shared" si="53"/>
        <v>0</v>
      </c>
      <c r="Z111" s="455">
        <f t="shared" si="53"/>
        <v>0</v>
      </c>
      <c r="AA111" s="455">
        <f t="shared" si="53"/>
        <v>3464</v>
      </c>
      <c r="AB111" s="455">
        <f t="shared" si="53"/>
        <v>0</v>
      </c>
      <c r="AC111" s="455">
        <f t="shared" si="53"/>
        <v>0</v>
      </c>
      <c r="AD111" s="455">
        <f t="shared" si="53"/>
        <v>0</v>
      </c>
      <c r="AE111" s="455">
        <f t="shared" si="53"/>
        <v>500</v>
      </c>
      <c r="AF111" s="350">
        <f t="shared" si="53"/>
        <v>0</v>
      </c>
      <c r="AG111" s="293"/>
      <c r="AH111" s="293"/>
      <c r="AI111" s="293"/>
      <c r="AJ111" s="293"/>
      <c r="AK111" s="293"/>
      <c r="AL111" s="293"/>
      <c r="AM111" s="293"/>
      <c r="AN111" s="293"/>
      <c r="AO111" s="293"/>
      <c r="AP111" s="293"/>
      <c r="AQ111" s="293"/>
      <c r="AR111" s="293"/>
      <c r="AS111" s="293"/>
      <c r="AT111" s="293"/>
      <c r="AU111" s="293"/>
      <c r="AV111" s="293"/>
      <c r="AW111" s="293"/>
      <c r="AX111" s="293"/>
      <c r="AY111" s="293"/>
      <c r="AZ111" s="293"/>
      <c r="BA111" s="293"/>
      <c r="BB111" s="293"/>
      <c r="BC111" s="293"/>
      <c r="BD111" s="293"/>
      <c r="BE111" s="293"/>
      <c r="BF111" s="293"/>
      <c r="BG111" s="293"/>
      <c r="BH111" s="293"/>
      <c r="BI111" s="293"/>
      <c r="BJ111" s="293"/>
      <c r="BK111" s="293"/>
      <c r="BL111" s="293"/>
      <c r="BM111" s="293"/>
      <c r="BN111" s="293"/>
      <c r="BO111" s="293"/>
      <c r="BP111" s="293"/>
      <c r="BQ111" s="293"/>
      <c r="BR111" s="293"/>
      <c r="BS111" s="293"/>
      <c r="BT111" s="293"/>
      <c r="BU111" s="293"/>
      <c r="BV111" s="293"/>
      <c r="BW111" s="293"/>
      <c r="BX111" s="293"/>
      <c r="BY111" s="293"/>
      <c r="BZ111" s="293"/>
      <c r="CA111" s="293"/>
      <c r="CB111" s="293"/>
      <c r="CC111" s="293"/>
      <c r="CD111" s="293"/>
      <c r="CE111" s="293"/>
      <c r="CF111" s="293"/>
      <c r="CG111" s="293"/>
      <c r="CH111" s="293"/>
      <c r="CI111" s="293"/>
      <c r="CJ111" s="293"/>
      <c r="CK111" s="293"/>
      <c r="CL111" s="293"/>
      <c r="CM111" s="293"/>
      <c r="CN111" s="293"/>
      <c r="CO111" s="293"/>
      <c r="CP111" s="293"/>
      <c r="CQ111" s="293"/>
      <c r="CR111" s="293"/>
      <c r="CS111" s="293"/>
      <c r="CT111" s="293"/>
      <c r="CU111" s="293"/>
      <c r="CV111" s="293"/>
      <c r="CW111" s="293"/>
      <c r="CX111" s="293"/>
      <c r="CY111" s="293"/>
    </row>
    <row r="112" spans="1:103" outlineLevel="1" x14ac:dyDescent="0.25">
      <c r="A112" s="358" t="s">
        <v>118</v>
      </c>
      <c r="B112" s="475" t="s">
        <v>20</v>
      </c>
      <c r="C112" s="431">
        <v>8117.67</v>
      </c>
      <c r="D112" s="119">
        <f t="shared" ref="D112:D117" si="54">+J112</f>
        <v>7670</v>
      </c>
      <c r="E112" s="110">
        <v>7669.06</v>
      </c>
      <c r="F112" s="119">
        <v>7670</v>
      </c>
      <c r="G112" s="294">
        <f t="shared" si="38"/>
        <v>1</v>
      </c>
      <c r="H112" s="490">
        <f>+F112/C112</f>
        <v>0.94485240222871836</v>
      </c>
      <c r="I112" s="290"/>
      <c r="J112" s="119">
        <f t="shared" ref="J112:J124" si="55">+O112+P112+Q112+R112+S112+T112+U112+V112+W112</f>
        <v>7670</v>
      </c>
      <c r="K112" s="290"/>
      <c r="L112" s="290">
        <f t="shared" si="52"/>
        <v>7670</v>
      </c>
      <c r="M112" s="354">
        <f t="shared" si="45"/>
        <v>1</v>
      </c>
      <c r="N112" s="353"/>
      <c r="O112" s="431">
        <f>+X112</f>
        <v>4206</v>
      </c>
      <c r="P112" s="119"/>
      <c r="Q112" s="119"/>
      <c r="R112" s="119">
        <f>+AA112</f>
        <v>3464</v>
      </c>
      <c r="S112" s="119"/>
      <c r="T112" s="119"/>
      <c r="U112" s="119"/>
      <c r="V112" s="119"/>
      <c r="W112" s="356"/>
      <c r="X112" s="290">
        <f>7670-3464</f>
        <v>4206</v>
      </c>
      <c r="Y112" s="119"/>
      <c r="Z112" s="119"/>
      <c r="AA112" s="119">
        <f>7576-4468+356</f>
        <v>3464</v>
      </c>
      <c r="AB112" s="119"/>
      <c r="AC112" s="119"/>
      <c r="AD112" s="119"/>
      <c r="AE112" s="355"/>
      <c r="AF112" s="356"/>
    </row>
    <row r="113" spans="1:103" outlineLevel="1" x14ac:dyDescent="0.25">
      <c r="A113" s="352" t="s">
        <v>119</v>
      </c>
      <c r="B113" s="475" t="s">
        <v>692</v>
      </c>
      <c r="C113" s="431">
        <v>1506.45</v>
      </c>
      <c r="D113" s="119">
        <f t="shared" si="54"/>
        <v>1500</v>
      </c>
      <c r="E113" s="110">
        <v>1262.9000000000001</v>
      </c>
      <c r="F113" s="119">
        <f>+L113</f>
        <v>850</v>
      </c>
      <c r="G113" s="294">
        <f t="shared" si="38"/>
        <v>1.7647058823529411</v>
      </c>
      <c r="H113" s="490">
        <f>+F113/C113</f>
        <v>0.56424043280560254</v>
      </c>
      <c r="I113" s="290"/>
      <c r="J113" s="119">
        <f t="shared" si="55"/>
        <v>1500</v>
      </c>
      <c r="K113" s="290"/>
      <c r="L113" s="290">
        <f t="shared" si="52"/>
        <v>850</v>
      </c>
      <c r="M113" s="354">
        <f t="shared" si="45"/>
        <v>1.7647058823529411</v>
      </c>
      <c r="N113" s="353"/>
      <c r="O113" s="431">
        <v>1500</v>
      </c>
      <c r="P113" s="119"/>
      <c r="Q113" s="119"/>
      <c r="R113" s="119"/>
      <c r="S113" s="119"/>
      <c r="T113" s="119"/>
      <c r="U113" s="119"/>
      <c r="V113" s="119"/>
      <c r="W113" s="356"/>
      <c r="X113" s="290">
        <v>850</v>
      </c>
      <c r="Y113" s="119"/>
      <c r="Z113" s="119"/>
      <c r="AA113" s="119"/>
      <c r="AB113" s="119"/>
      <c r="AC113" s="119"/>
      <c r="AD113" s="119"/>
      <c r="AE113" s="355"/>
      <c r="AF113" s="356"/>
    </row>
    <row r="114" spans="1:103" outlineLevel="1" x14ac:dyDescent="0.25">
      <c r="A114" s="352" t="s">
        <v>120</v>
      </c>
      <c r="B114" s="475" t="s">
        <v>16</v>
      </c>
      <c r="C114" s="431"/>
      <c r="D114" s="119">
        <f t="shared" si="54"/>
        <v>500</v>
      </c>
      <c r="E114" s="110"/>
      <c r="F114" s="119">
        <f>+L114</f>
        <v>500</v>
      </c>
      <c r="G114" s="294">
        <f t="shared" si="38"/>
        <v>1</v>
      </c>
      <c r="H114" s="490"/>
      <c r="I114" s="290"/>
      <c r="J114" s="119">
        <f t="shared" si="55"/>
        <v>500</v>
      </c>
      <c r="K114" s="290"/>
      <c r="L114" s="290">
        <f t="shared" si="52"/>
        <v>500</v>
      </c>
      <c r="M114" s="354">
        <f t="shared" si="45"/>
        <v>1</v>
      </c>
      <c r="N114" s="353"/>
      <c r="O114" s="431"/>
      <c r="P114" s="119"/>
      <c r="Q114" s="119"/>
      <c r="R114" s="119"/>
      <c r="S114" s="119"/>
      <c r="T114" s="119"/>
      <c r="U114" s="119"/>
      <c r="V114" s="119">
        <f>+AE114</f>
        <v>500</v>
      </c>
      <c r="W114" s="356"/>
      <c r="X114" s="290"/>
      <c r="Y114" s="119"/>
      <c r="Z114" s="119"/>
      <c r="AA114" s="119"/>
      <c r="AB114" s="119"/>
      <c r="AC114" s="119"/>
      <c r="AD114" s="119"/>
      <c r="AE114" s="355">
        <v>500</v>
      </c>
      <c r="AF114" s="356"/>
    </row>
    <row r="115" spans="1:103" outlineLevel="1" x14ac:dyDescent="0.25">
      <c r="A115" s="352" t="s">
        <v>121</v>
      </c>
      <c r="B115" s="475" t="s">
        <v>17</v>
      </c>
      <c r="C115" s="431">
        <v>872.81</v>
      </c>
      <c r="D115" s="119">
        <f t="shared" si="54"/>
        <v>500</v>
      </c>
      <c r="E115" s="110">
        <v>452.4</v>
      </c>
      <c r="F115" s="119">
        <f>+L115</f>
        <v>500</v>
      </c>
      <c r="G115" s="294">
        <f t="shared" si="38"/>
        <v>1</v>
      </c>
      <c r="H115" s="490">
        <f>+F115/C115</f>
        <v>0.57286236408840419</v>
      </c>
      <c r="I115" s="290"/>
      <c r="J115" s="119">
        <f t="shared" si="55"/>
        <v>500</v>
      </c>
      <c r="K115" s="290"/>
      <c r="L115" s="290">
        <f t="shared" si="52"/>
        <v>500</v>
      </c>
      <c r="M115" s="354">
        <f t="shared" si="45"/>
        <v>1</v>
      </c>
      <c r="N115" s="353"/>
      <c r="O115" s="431">
        <f>+X115</f>
        <v>500</v>
      </c>
      <c r="P115" s="119"/>
      <c r="Q115" s="119"/>
      <c r="R115" s="119"/>
      <c r="S115" s="119"/>
      <c r="T115" s="119"/>
      <c r="U115" s="119"/>
      <c r="V115" s="119"/>
      <c r="W115" s="356"/>
      <c r="X115" s="290">
        <v>500</v>
      </c>
      <c r="Y115" s="119"/>
      <c r="Z115" s="119"/>
      <c r="AA115" s="119"/>
      <c r="AB115" s="119"/>
      <c r="AC115" s="119"/>
      <c r="AD115" s="119"/>
      <c r="AE115" s="355"/>
      <c r="AF115" s="356"/>
    </row>
    <row r="116" spans="1:103" outlineLevel="1" x14ac:dyDescent="0.25">
      <c r="A116" s="352" t="s">
        <v>122</v>
      </c>
      <c r="B116" s="475" t="s">
        <v>18</v>
      </c>
      <c r="C116" s="431">
        <v>727</v>
      </c>
      <c r="D116" s="119">
        <f t="shared" si="54"/>
        <v>500</v>
      </c>
      <c r="E116" s="110"/>
      <c r="F116" s="119">
        <f>+L116</f>
        <v>0</v>
      </c>
      <c r="G116" s="294"/>
      <c r="H116" s="490">
        <f>+F116/C116</f>
        <v>0</v>
      </c>
      <c r="I116" s="290"/>
      <c r="J116" s="119">
        <f t="shared" si="55"/>
        <v>500</v>
      </c>
      <c r="K116" s="290"/>
      <c r="L116" s="290">
        <f t="shared" si="52"/>
        <v>0</v>
      </c>
      <c r="M116" s="354"/>
      <c r="N116" s="353"/>
      <c r="O116" s="431">
        <v>500</v>
      </c>
      <c r="P116" s="119"/>
      <c r="Q116" s="119"/>
      <c r="R116" s="119"/>
      <c r="S116" s="119"/>
      <c r="T116" s="119"/>
      <c r="U116" s="119"/>
      <c r="V116" s="119"/>
      <c r="W116" s="356"/>
      <c r="X116" s="290"/>
      <c r="Y116" s="119"/>
      <c r="Z116" s="119"/>
      <c r="AA116" s="119"/>
      <c r="AB116" s="119"/>
      <c r="AC116" s="119"/>
      <c r="AD116" s="119"/>
      <c r="AE116" s="355"/>
      <c r="AF116" s="356"/>
    </row>
    <row r="117" spans="1:103" outlineLevel="1" x14ac:dyDescent="0.25">
      <c r="A117" s="352" t="s">
        <v>1040</v>
      </c>
      <c r="B117" s="475" t="s">
        <v>19</v>
      </c>
      <c r="C117" s="431">
        <v>58.87</v>
      </c>
      <c r="D117" s="119">
        <f t="shared" si="54"/>
        <v>100</v>
      </c>
      <c r="E117" s="110"/>
      <c r="F117" s="119">
        <f>+L117</f>
        <v>100</v>
      </c>
      <c r="G117" s="294">
        <f t="shared" si="38"/>
        <v>1</v>
      </c>
      <c r="H117" s="490">
        <f>+F117/C117</f>
        <v>1.6986580601324954</v>
      </c>
      <c r="I117" s="290"/>
      <c r="J117" s="119">
        <f t="shared" si="55"/>
        <v>100</v>
      </c>
      <c r="K117" s="290"/>
      <c r="L117" s="290">
        <f t="shared" si="52"/>
        <v>100</v>
      </c>
      <c r="M117" s="354">
        <f>+J117/L117</f>
        <v>1</v>
      </c>
      <c r="N117" s="353"/>
      <c r="O117" s="431">
        <f>+X117</f>
        <v>100</v>
      </c>
      <c r="P117" s="119"/>
      <c r="Q117" s="119"/>
      <c r="R117" s="119"/>
      <c r="S117" s="119"/>
      <c r="T117" s="119"/>
      <c r="U117" s="119"/>
      <c r="V117" s="119"/>
      <c r="W117" s="356"/>
      <c r="X117" s="290">
        <v>100</v>
      </c>
      <c r="Y117" s="119"/>
      <c r="Z117" s="119"/>
      <c r="AA117" s="119"/>
      <c r="AB117" s="119"/>
      <c r="AC117" s="119"/>
      <c r="AD117" s="119"/>
      <c r="AE117" s="355"/>
      <c r="AF117" s="356"/>
    </row>
    <row r="118" spans="1:103" s="351" customFormat="1" ht="15.75" x14ac:dyDescent="0.25">
      <c r="A118" s="345" t="s">
        <v>123</v>
      </c>
      <c r="B118" s="474" t="s">
        <v>697</v>
      </c>
      <c r="C118" s="430">
        <f>+SUM(C119:C124)</f>
        <v>4078.3599999999997</v>
      </c>
      <c r="D118" s="455">
        <f>+SUM(D119:D124)</f>
        <v>5240</v>
      </c>
      <c r="E118" s="274">
        <f>+SUM(E119:E124)</f>
        <v>5070.17</v>
      </c>
      <c r="F118" s="455">
        <f>+SUM(F119:F124)</f>
        <v>4740</v>
      </c>
      <c r="G118" s="292">
        <f t="shared" si="38"/>
        <v>1.1054852320675106</v>
      </c>
      <c r="H118" s="489">
        <f>+F118/C118</f>
        <v>1.1622318775193952</v>
      </c>
      <c r="I118" s="349"/>
      <c r="J118" s="347">
        <f>SUM(J119:J124)</f>
        <v>5240</v>
      </c>
      <c r="K118" s="291"/>
      <c r="L118" s="291">
        <f t="shared" si="52"/>
        <v>4740</v>
      </c>
      <c r="M118" s="348">
        <f>+J118/L118</f>
        <v>1.1054852320675106</v>
      </c>
      <c r="N118" s="392"/>
      <c r="O118" s="430">
        <f>SUM(O119:O124)</f>
        <v>3690</v>
      </c>
      <c r="P118" s="455">
        <f t="shared" ref="P118:W118" si="56">SUM(P119:P124)</f>
        <v>0</v>
      </c>
      <c r="Q118" s="455">
        <f t="shared" si="56"/>
        <v>0</v>
      </c>
      <c r="R118" s="455">
        <f t="shared" si="56"/>
        <v>1050</v>
      </c>
      <c r="S118" s="455">
        <f t="shared" si="56"/>
        <v>0</v>
      </c>
      <c r="T118" s="455">
        <f t="shared" si="56"/>
        <v>0</v>
      </c>
      <c r="U118" s="455">
        <f t="shared" si="56"/>
        <v>0</v>
      </c>
      <c r="V118" s="455">
        <f t="shared" si="56"/>
        <v>0</v>
      </c>
      <c r="W118" s="350">
        <f t="shared" si="56"/>
        <v>500</v>
      </c>
      <c r="X118" s="349">
        <f>SUM(X119:X124)</f>
        <v>3190</v>
      </c>
      <c r="Y118" s="455">
        <f t="shared" ref="Y118:AF118" si="57">SUM(Y119:Y124)</f>
        <v>0</v>
      </c>
      <c r="Z118" s="455">
        <f t="shared" si="57"/>
        <v>0</v>
      </c>
      <c r="AA118" s="455">
        <f t="shared" si="57"/>
        <v>1050</v>
      </c>
      <c r="AB118" s="455">
        <f t="shared" si="57"/>
        <v>0</v>
      </c>
      <c r="AC118" s="455">
        <f t="shared" si="57"/>
        <v>0</v>
      </c>
      <c r="AD118" s="455">
        <f t="shared" si="57"/>
        <v>0</v>
      </c>
      <c r="AE118" s="455">
        <f t="shared" si="57"/>
        <v>0</v>
      </c>
      <c r="AF118" s="350">
        <f t="shared" si="57"/>
        <v>500</v>
      </c>
      <c r="AG118" s="293"/>
      <c r="AH118" s="293"/>
      <c r="AI118" s="293"/>
      <c r="AJ118" s="293"/>
      <c r="AK118" s="293"/>
      <c r="AL118" s="293"/>
      <c r="AM118" s="293"/>
      <c r="AN118" s="293"/>
      <c r="AO118" s="293"/>
      <c r="AP118" s="293"/>
      <c r="AQ118" s="293"/>
      <c r="AR118" s="293"/>
      <c r="AS118" s="293"/>
      <c r="AT118" s="293"/>
      <c r="AU118" s="293"/>
      <c r="AV118" s="293"/>
      <c r="AW118" s="293"/>
      <c r="AX118" s="293"/>
      <c r="AY118" s="293"/>
      <c r="AZ118" s="293"/>
      <c r="BA118" s="293"/>
      <c r="BB118" s="293"/>
      <c r="BC118" s="293"/>
      <c r="BD118" s="293"/>
      <c r="BE118" s="293"/>
      <c r="BF118" s="293"/>
      <c r="BG118" s="293"/>
      <c r="BH118" s="293"/>
      <c r="BI118" s="293"/>
      <c r="BJ118" s="293"/>
      <c r="BK118" s="293"/>
      <c r="BL118" s="293"/>
      <c r="BM118" s="293"/>
      <c r="BN118" s="293"/>
      <c r="BO118" s="293"/>
      <c r="BP118" s="293"/>
      <c r="BQ118" s="293"/>
      <c r="BR118" s="293"/>
      <c r="BS118" s="293"/>
      <c r="BT118" s="293"/>
      <c r="BU118" s="293"/>
      <c r="BV118" s="293"/>
      <c r="BW118" s="293"/>
      <c r="BX118" s="293"/>
      <c r="BY118" s="293"/>
      <c r="BZ118" s="293"/>
      <c r="CA118" s="293"/>
      <c r="CB118" s="293"/>
      <c r="CC118" s="293"/>
      <c r="CD118" s="293"/>
      <c r="CE118" s="293"/>
      <c r="CF118" s="293"/>
      <c r="CG118" s="293"/>
      <c r="CH118" s="293"/>
      <c r="CI118" s="293"/>
      <c r="CJ118" s="293"/>
      <c r="CK118" s="293"/>
      <c r="CL118" s="293"/>
      <c r="CM118" s="293"/>
      <c r="CN118" s="293"/>
      <c r="CO118" s="293"/>
      <c r="CP118" s="293"/>
      <c r="CQ118" s="293"/>
      <c r="CR118" s="293"/>
      <c r="CS118" s="293"/>
      <c r="CT118" s="293"/>
      <c r="CU118" s="293"/>
      <c r="CV118" s="293"/>
      <c r="CW118" s="293"/>
      <c r="CX118" s="293"/>
      <c r="CY118" s="293"/>
    </row>
    <row r="119" spans="1:103" outlineLevel="1" x14ac:dyDescent="0.25">
      <c r="A119" s="352" t="s">
        <v>124</v>
      </c>
      <c r="B119" s="475" t="s">
        <v>21</v>
      </c>
      <c r="C119" s="431">
        <v>2740</v>
      </c>
      <c r="D119" s="119">
        <f t="shared" ref="D119:D124" si="58">+J119</f>
        <v>2740</v>
      </c>
      <c r="E119" s="110">
        <v>2740</v>
      </c>
      <c r="F119" s="119">
        <v>2740</v>
      </c>
      <c r="G119" s="294">
        <f t="shared" si="38"/>
        <v>1</v>
      </c>
      <c r="H119" s="490">
        <f>+F119/C119</f>
        <v>1</v>
      </c>
      <c r="I119" s="290"/>
      <c r="J119" s="119">
        <f t="shared" si="55"/>
        <v>2740</v>
      </c>
      <c r="K119" s="290"/>
      <c r="L119" s="290">
        <f t="shared" si="52"/>
        <v>2740</v>
      </c>
      <c r="M119" s="354">
        <f>+J119/L119</f>
        <v>1</v>
      </c>
      <c r="N119" s="353"/>
      <c r="O119" s="431">
        <f>+X119</f>
        <v>1690</v>
      </c>
      <c r="P119" s="119"/>
      <c r="Q119" s="119"/>
      <c r="R119" s="119">
        <f>+AA119</f>
        <v>1050</v>
      </c>
      <c r="S119" s="119"/>
      <c r="T119" s="119"/>
      <c r="U119" s="119"/>
      <c r="V119" s="119"/>
      <c r="W119" s="356"/>
      <c r="X119" s="290">
        <v>1690</v>
      </c>
      <c r="Y119" s="119"/>
      <c r="Z119" s="119"/>
      <c r="AA119" s="119">
        <f>2740-1690</f>
        <v>1050</v>
      </c>
      <c r="AB119" s="119"/>
      <c r="AC119" s="119"/>
      <c r="AD119" s="119"/>
      <c r="AE119" s="355"/>
      <c r="AF119" s="356"/>
    </row>
    <row r="120" spans="1:103" outlineLevel="1" x14ac:dyDescent="0.25">
      <c r="A120" s="352" t="s">
        <v>125</v>
      </c>
      <c r="B120" s="475" t="s">
        <v>22</v>
      </c>
      <c r="C120" s="431"/>
      <c r="D120" s="119">
        <f t="shared" si="58"/>
        <v>0</v>
      </c>
      <c r="E120" s="110">
        <v>20.05</v>
      </c>
      <c r="F120" s="119">
        <f>+L120</f>
        <v>0</v>
      </c>
      <c r="G120" s="294"/>
      <c r="H120" s="490"/>
      <c r="I120" s="290"/>
      <c r="J120" s="119">
        <f t="shared" si="55"/>
        <v>0</v>
      </c>
      <c r="K120" s="290"/>
      <c r="L120" s="290">
        <f t="shared" si="52"/>
        <v>0</v>
      </c>
      <c r="M120" s="354"/>
      <c r="N120" s="353"/>
      <c r="O120" s="431"/>
      <c r="P120" s="119"/>
      <c r="Q120" s="119"/>
      <c r="R120" s="119"/>
      <c r="S120" s="119"/>
      <c r="T120" s="119"/>
      <c r="U120" s="119"/>
      <c r="V120" s="119"/>
      <c r="W120" s="356"/>
      <c r="X120" s="290"/>
      <c r="Y120" s="119"/>
      <c r="Z120" s="119"/>
      <c r="AA120" s="119"/>
      <c r="AB120" s="119"/>
      <c r="AC120" s="119"/>
      <c r="AD120" s="119"/>
      <c r="AE120" s="355"/>
      <c r="AF120" s="356"/>
    </row>
    <row r="121" spans="1:103" outlineLevel="1" x14ac:dyDescent="0.25">
      <c r="A121" s="352" t="s">
        <v>126</v>
      </c>
      <c r="B121" s="475" t="s">
        <v>23</v>
      </c>
      <c r="C121" s="431">
        <v>527.24</v>
      </c>
      <c r="D121" s="119">
        <f t="shared" si="58"/>
        <v>500</v>
      </c>
      <c r="E121" s="110">
        <v>671.88</v>
      </c>
      <c r="F121" s="119">
        <f>+L121</f>
        <v>500</v>
      </c>
      <c r="G121" s="294">
        <f t="shared" si="38"/>
        <v>1</v>
      </c>
      <c r="H121" s="490">
        <f>+F121/C121</f>
        <v>0.94833472422426213</v>
      </c>
      <c r="I121" s="290"/>
      <c r="J121" s="119">
        <f t="shared" si="55"/>
        <v>500</v>
      </c>
      <c r="K121" s="290"/>
      <c r="L121" s="290">
        <f t="shared" si="52"/>
        <v>500</v>
      </c>
      <c r="M121" s="354">
        <f>+J121/L121</f>
        <v>1</v>
      </c>
      <c r="N121" s="353"/>
      <c r="O121" s="431"/>
      <c r="P121" s="119"/>
      <c r="Q121" s="119"/>
      <c r="R121" s="119"/>
      <c r="S121" s="119"/>
      <c r="T121" s="119"/>
      <c r="U121" s="119"/>
      <c r="V121" s="119"/>
      <c r="W121" s="356">
        <v>500</v>
      </c>
      <c r="X121" s="290"/>
      <c r="Y121" s="119"/>
      <c r="Z121" s="119"/>
      <c r="AA121" s="119"/>
      <c r="AB121" s="119"/>
      <c r="AC121" s="119"/>
      <c r="AD121" s="119"/>
      <c r="AE121" s="355"/>
      <c r="AF121" s="356">
        <v>500</v>
      </c>
    </row>
    <row r="122" spans="1:103" outlineLevel="1" x14ac:dyDescent="0.25">
      <c r="A122" s="352" t="s">
        <v>127</v>
      </c>
      <c r="B122" s="475" t="s">
        <v>24</v>
      </c>
      <c r="C122" s="431">
        <v>66.239999999999995</v>
      </c>
      <c r="D122" s="119">
        <f t="shared" si="58"/>
        <v>500</v>
      </c>
      <c r="E122" s="110">
        <v>502.2</v>
      </c>
      <c r="F122" s="119">
        <f>+L122</f>
        <v>500</v>
      </c>
      <c r="G122" s="294">
        <f t="shared" si="38"/>
        <v>1</v>
      </c>
      <c r="H122" s="490">
        <f>+F122/C122</f>
        <v>7.5483091787439616</v>
      </c>
      <c r="I122" s="290"/>
      <c r="J122" s="119">
        <f t="shared" si="55"/>
        <v>500</v>
      </c>
      <c r="K122" s="290"/>
      <c r="L122" s="290">
        <f t="shared" si="52"/>
        <v>500</v>
      </c>
      <c r="M122" s="354">
        <f>+J122/L122</f>
        <v>1</v>
      </c>
      <c r="N122" s="353"/>
      <c r="O122" s="431">
        <f>+X122</f>
        <v>500</v>
      </c>
      <c r="P122" s="119"/>
      <c r="Q122" s="119"/>
      <c r="R122" s="119"/>
      <c r="S122" s="119"/>
      <c r="T122" s="119"/>
      <c r="U122" s="119"/>
      <c r="V122" s="119"/>
      <c r="W122" s="356"/>
      <c r="X122" s="290">
        <v>500</v>
      </c>
      <c r="Y122" s="119"/>
      <c r="Z122" s="119"/>
      <c r="AA122" s="119"/>
      <c r="AB122" s="119"/>
      <c r="AC122" s="119"/>
      <c r="AD122" s="119"/>
      <c r="AE122" s="355"/>
      <c r="AF122" s="356"/>
    </row>
    <row r="123" spans="1:103" outlineLevel="1" x14ac:dyDescent="0.25">
      <c r="A123" s="352" t="s">
        <v>128</v>
      </c>
      <c r="B123" s="475" t="s">
        <v>25</v>
      </c>
      <c r="C123" s="431">
        <v>744.88</v>
      </c>
      <c r="D123" s="119">
        <f t="shared" si="58"/>
        <v>500</v>
      </c>
      <c r="E123" s="110">
        <v>846.04</v>
      </c>
      <c r="F123" s="119">
        <f>+L123</f>
        <v>500</v>
      </c>
      <c r="G123" s="294">
        <f t="shared" si="38"/>
        <v>1</v>
      </c>
      <c r="H123" s="490">
        <f>+F123/C123</f>
        <v>0.6712490602513157</v>
      </c>
      <c r="I123" s="290"/>
      <c r="J123" s="119">
        <f t="shared" si="55"/>
        <v>500</v>
      </c>
      <c r="K123" s="290"/>
      <c r="L123" s="290">
        <f t="shared" si="52"/>
        <v>500</v>
      </c>
      <c r="M123" s="354">
        <f>+J123/L123</f>
        <v>1</v>
      </c>
      <c r="N123" s="353"/>
      <c r="O123" s="431">
        <f>+X123</f>
        <v>500</v>
      </c>
      <c r="P123" s="119"/>
      <c r="Q123" s="119"/>
      <c r="R123" s="119"/>
      <c r="S123" s="119"/>
      <c r="T123" s="119"/>
      <c r="U123" s="119"/>
      <c r="V123" s="119"/>
      <c r="W123" s="356"/>
      <c r="X123" s="290">
        <v>500</v>
      </c>
      <c r="Y123" s="119"/>
      <c r="Z123" s="119"/>
      <c r="AA123" s="119"/>
      <c r="AB123" s="119"/>
      <c r="AC123" s="119"/>
      <c r="AD123" s="119"/>
      <c r="AE123" s="355"/>
      <c r="AF123" s="356"/>
    </row>
    <row r="124" spans="1:103" outlineLevel="1" x14ac:dyDescent="0.25">
      <c r="A124" s="352" t="s">
        <v>1041</v>
      </c>
      <c r="B124" s="475" t="s">
        <v>15</v>
      </c>
      <c r="C124" s="431"/>
      <c r="D124" s="119">
        <f t="shared" si="58"/>
        <v>1000</v>
      </c>
      <c r="E124" s="110">
        <v>290</v>
      </c>
      <c r="F124" s="119">
        <f>+L124</f>
        <v>500</v>
      </c>
      <c r="G124" s="294">
        <f t="shared" si="38"/>
        <v>2</v>
      </c>
      <c r="H124" s="490"/>
      <c r="I124" s="290"/>
      <c r="J124" s="119">
        <f t="shared" si="55"/>
        <v>1000</v>
      </c>
      <c r="K124" s="290"/>
      <c r="L124" s="290">
        <f t="shared" si="52"/>
        <v>500</v>
      </c>
      <c r="M124" s="354">
        <f>+J124/L124</f>
        <v>2</v>
      </c>
      <c r="N124" s="353"/>
      <c r="O124" s="431">
        <v>1000</v>
      </c>
      <c r="P124" s="119"/>
      <c r="Q124" s="119"/>
      <c r="R124" s="119"/>
      <c r="S124" s="119"/>
      <c r="T124" s="119"/>
      <c r="U124" s="119"/>
      <c r="V124" s="119"/>
      <c r="W124" s="356"/>
      <c r="X124" s="290">
        <v>500</v>
      </c>
      <c r="Y124" s="119"/>
      <c r="Z124" s="119"/>
      <c r="AA124" s="119"/>
      <c r="AB124" s="119"/>
      <c r="AC124" s="119"/>
      <c r="AD124" s="119"/>
      <c r="AE124" s="355"/>
      <c r="AF124" s="356"/>
    </row>
    <row r="125" spans="1:103" s="351" customFormat="1" ht="15.75" x14ac:dyDescent="0.25">
      <c r="A125" s="345" t="s">
        <v>129</v>
      </c>
      <c r="B125" s="474" t="s">
        <v>698</v>
      </c>
      <c r="C125" s="430">
        <f>+SUM(C126:C130)</f>
        <v>1432.02</v>
      </c>
      <c r="D125" s="455">
        <f>+SUM(D126:D130)</f>
        <v>3000</v>
      </c>
      <c r="E125" s="274">
        <f>+SUM(E126:E130)</f>
        <v>4594.75</v>
      </c>
      <c r="F125" s="455">
        <f>+SUM(F126:F130)</f>
        <v>3000</v>
      </c>
      <c r="G125" s="292">
        <f t="shared" si="38"/>
        <v>1</v>
      </c>
      <c r="H125" s="489">
        <f>+F125/C125</f>
        <v>2.0949428080613401</v>
      </c>
      <c r="I125" s="349"/>
      <c r="J125" s="347">
        <f>SUM(J126:J130)</f>
        <v>3000</v>
      </c>
      <c r="K125" s="291"/>
      <c r="L125" s="291">
        <f t="shared" si="52"/>
        <v>3000</v>
      </c>
      <c r="M125" s="348">
        <f>+J125/L125</f>
        <v>1</v>
      </c>
      <c r="N125" s="392"/>
      <c r="O125" s="430">
        <f>+O126+O127+O128+O129+O130</f>
        <v>2000</v>
      </c>
      <c r="P125" s="455">
        <f t="shared" ref="P125:AF125" si="59">SUM(P126:P130)</f>
        <v>1000</v>
      </c>
      <c r="Q125" s="455">
        <f t="shared" si="59"/>
        <v>0</v>
      </c>
      <c r="R125" s="455">
        <f t="shared" si="59"/>
        <v>0</v>
      </c>
      <c r="S125" s="455">
        <f t="shared" si="59"/>
        <v>0</v>
      </c>
      <c r="T125" s="455">
        <f t="shared" si="59"/>
        <v>0</v>
      </c>
      <c r="U125" s="455">
        <f t="shared" si="59"/>
        <v>0</v>
      </c>
      <c r="V125" s="455">
        <f t="shared" si="59"/>
        <v>0</v>
      </c>
      <c r="W125" s="350">
        <f t="shared" si="59"/>
        <v>0</v>
      </c>
      <c r="X125" s="349">
        <f t="shared" si="59"/>
        <v>2000</v>
      </c>
      <c r="Y125" s="455">
        <f t="shared" si="59"/>
        <v>1000</v>
      </c>
      <c r="Z125" s="455">
        <f t="shared" si="59"/>
        <v>0</v>
      </c>
      <c r="AA125" s="455">
        <f t="shared" si="59"/>
        <v>0</v>
      </c>
      <c r="AB125" s="455">
        <f t="shared" si="59"/>
        <v>0</v>
      </c>
      <c r="AC125" s="455">
        <f t="shared" si="59"/>
        <v>0</v>
      </c>
      <c r="AD125" s="455">
        <f t="shared" si="59"/>
        <v>0</v>
      </c>
      <c r="AE125" s="455">
        <f t="shared" si="59"/>
        <v>0</v>
      </c>
      <c r="AF125" s="350">
        <f t="shared" si="59"/>
        <v>0</v>
      </c>
      <c r="AG125" s="293"/>
      <c r="AH125" s="293"/>
      <c r="AI125" s="293"/>
      <c r="AJ125" s="293"/>
      <c r="AK125" s="293"/>
      <c r="AL125" s="293"/>
      <c r="AM125" s="293"/>
      <c r="AN125" s="293"/>
      <c r="AO125" s="293"/>
      <c r="AP125" s="293"/>
      <c r="AQ125" s="293"/>
      <c r="AR125" s="293"/>
      <c r="AS125" s="293"/>
      <c r="AT125" s="293"/>
      <c r="AU125" s="293"/>
      <c r="AV125" s="293"/>
      <c r="AW125" s="293"/>
      <c r="AX125" s="293"/>
      <c r="AY125" s="293"/>
      <c r="AZ125" s="293"/>
      <c r="BA125" s="293"/>
      <c r="BB125" s="293"/>
      <c r="BC125" s="293"/>
      <c r="BD125" s="293"/>
      <c r="BE125" s="293"/>
      <c r="BF125" s="293"/>
      <c r="BG125" s="293"/>
      <c r="BH125" s="293"/>
      <c r="BI125" s="293"/>
      <c r="BJ125" s="293"/>
      <c r="BK125" s="293"/>
      <c r="BL125" s="293"/>
      <c r="BM125" s="293"/>
      <c r="BN125" s="293"/>
      <c r="BO125" s="293"/>
      <c r="BP125" s="293"/>
      <c r="BQ125" s="293"/>
      <c r="BR125" s="293"/>
      <c r="BS125" s="293"/>
      <c r="BT125" s="293"/>
      <c r="BU125" s="293"/>
      <c r="BV125" s="293"/>
      <c r="BW125" s="293"/>
      <c r="BX125" s="293"/>
      <c r="BY125" s="293"/>
      <c r="BZ125" s="293"/>
      <c r="CA125" s="293"/>
      <c r="CB125" s="293"/>
      <c r="CC125" s="293"/>
      <c r="CD125" s="293"/>
      <c r="CE125" s="293"/>
      <c r="CF125" s="293"/>
      <c r="CG125" s="293"/>
      <c r="CH125" s="293"/>
      <c r="CI125" s="293"/>
      <c r="CJ125" s="293"/>
      <c r="CK125" s="293"/>
      <c r="CL125" s="293"/>
      <c r="CM125" s="293"/>
      <c r="CN125" s="293"/>
      <c r="CO125" s="293"/>
      <c r="CP125" s="293"/>
      <c r="CQ125" s="293"/>
      <c r="CR125" s="293"/>
      <c r="CS125" s="293"/>
      <c r="CT125" s="293"/>
      <c r="CU125" s="293"/>
      <c r="CV125" s="293"/>
      <c r="CW125" s="293"/>
      <c r="CX125" s="293"/>
      <c r="CY125" s="293"/>
    </row>
    <row r="126" spans="1:103" outlineLevel="1" x14ac:dyDescent="0.25">
      <c r="A126" s="352" t="s">
        <v>130</v>
      </c>
      <c r="B126" s="475" t="s">
        <v>27</v>
      </c>
      <c r="C126" s="431"/>
      <c r="D126" s="119">
        <f>+J126</f>
        <v>0</v>
      </c>
      <c r="E126" s="110"/>
      <c r="F126" s="119">
        <f>+L126</f>
        <v>0</v>
      </c>
      <c r="G126" s="294"/>
      <c r="H126" s="490"/>
      <c r="I126" s="290"/>
      <c r="J126" s="119">
        <f>+O126+P126+Q126+R126+S126+T126+U126+V126+W126</f>
        <v>0</v>
      </c>
      <c r="K126" s="290"/>
      <c r="L126" s="290">
        <f t="shared" si="52"/>
        <v>0</v>
      </c>
      <c r="M126" s="354"/>
      <c r="N126" s="353"/>
      <c r="O126" s="431"/>
      <c r="P126" s="119"/>
      <c r="Q126" s="119"/>
      <c r="R126" s="119"/>
      <c r="S126" s="119"/>
      <c r="T126" s="119"/>
      <c r="U126" s="119"/>
      <c r="V126" s="119"/>
      <c r="W126" s="356"/>
      <c r="X126" s="290"/>
      <c r="Y126" s="119"/>
      <c r="Z126" s="119"/>
      <c r="AA126" s="119"/>
      <c r="AB126" s="119"/>
      <c r="AC126" s="119"/>
      <c r="AD126" s="119"/>
      <c r="AE126" s="355"/>
      <c r="AF126" s="356"/>
    </row>
    <row r="127" spans="1:103" outlineLevel="1" x14ac:dyDescent="0.25">
      <c r="A127" s="374" t="s">
        <v>131</v>
      </c>
      <c r="B127" s="475" t="s">
        <v>108</v>
      </c>
      <c r="C127" s="431">
        <v>381.4</v>
      </c>
      <c r="D127" s="119">
        <f>+J127</f>
        <v>500</v>
      </c>
      <c r="E127" s="110">
        <v>419</v>
      </c>
      <c r="F127" s="119">
        <f>+L127</f>
        <v>500</v>
      </c>
      <c r="G127" s="294">
        <f t="shared" si="38"/>
        <v>1</v>
      </c>
      <c r="H127" s="490">
        <f>+F127/C127</f>
        <v>1.3109596224436288</v>
      </c>
      <c r="I127" s="290"/>
      <c r="J127" s="119">
        <f>+O127+P127+Q127+R127+S127+T127+U127+V127+W127</f>
        <v>500</v>
      </c>
      <c r="K127" s="290"/>
      <c r="L127" s="290">
        <f t="shared" si="52"/>
        <v>500</v>
      </c>
      <c r="M127" s="354">
        <f>+J127/L127</f>
        <v>1</v>
      </c>
      <c r="N127" s="353"/>
      <c r="O127" s="431">
        <f>+X127</f>
        <v>500</v>
      </c>
      <c r="P127" s="119"/>
      <c r="Q127" s="119"/>
      <c r="R127" s="119"/>
      <c r="S127" s="119"/>
      <c r="T127" s="119"/>
      <c r="U127" s="119"/>
      <c r="V127" s="119"/>
      <c r="W127" s="356"/>
      <c r="X127" s="290">
        <v>500</v>
      </c>
      <c r="Y127" s="119"/>
      <c r="Z127" s="119"/>
      <c r="AA127" s="119"/>
      <c r="AB127" s="119"/>
      <c r="AC127" s="119"/>
      <c r="AD127" s="119"/>
      <c r="AE127" s="355"/>
      <c r="AF127" s="356"/>
    </row>
    <row r="128" spans="1:103" outlineLevel="1" x14ac:dyDescent="0.25">
      <c r="A128" s="352" t="s">
        <v>1201</v>
      </c>
      <c r="B128" s="475" t="s">
        <v>109</v>
      </c>
      <c r="C128" s="431"/>
      <c r="D128" s="119">
        <f>+J128</f>
        <v>0</v>
      </c>
      <c r="E128" s="110"/>
      <c r="F128" s="119">
        <f>+L128</f>
        <v>0</v>
      </c>
      <c r="G128" s="294"/>
      <c r="H128" s="490"/>
      <c r="I128" s="290"/>
      <c r="J128" s="119">
        <f>+O128+P128+Q128+R128+S128+T128+U128+V128+W128</f>
        <v>0</v>
      </c>
      <c r="K128" s="290"/>
      <c r="L128" s="290">
        <f t="shared" si="52"/>
        <v>0</v>
      </c>
      <c r="M128" s="354"/>
      <c r="N128" s="353"/>
      <c r="O128" s="431"/>
      <c r="P128" s="119"/>
      <c r="Q128" s="119"/>
      <c r="R128" s="119"/>
      <c r="S128" s="119"/>
      <c r="T128" s="119"/>
      <c r="U128" s="119"/>
      <c r="V128" s="119"/>
      <c r="W128" s="356"/>
      <c r="X128" s="290"/>
      <c r="Y128" s="119"/>
      <c r="Z128" s="119"/>
      <c r="AA128" s="119"/>
      <c r="AB128" s="119"/>
      <c r="AC128" s="119"/>
      <c r="AD128" s="119"/>
      <c r="AE128" s="355"/>
      <c r="AF128" s="356"/>
    </row>
    <row r="129" spans="1:103" outlineLevel="1" x14ac:dyDescent="0.25">
      <c r="A129" s="352" t="s">
        <v>132</v>
      </c>
      <c r="B129" s="475" t="s">
        <v>1192</v>
      </c>
      <c r="C129" s="431">
        <v>1050.6199999999999</v>
      </c>
      <c r="D129" s="119">
        <f>+J129</f>
        <v>500</v>
      </c>
      <c r="E129" s="110"/>
      <c r="F129" s="119">
        <f>+L129</f>
        <v>500</v>
      </c>
      <c r="G129" s="294">
        <f t="shared" si="38"/>
        <v>1</v>
      </c>
      <c r="H129" s="490">
        <f>+F129/C129</f>
        <v>0.47590946298376202</v>
      </c>
      <c r="I129" s="290"/>
      <c r="J129" s="119">
        <f>+O129+P129+Q129+R129+S129+T129+U129+V129+W129</f>
        <v>500</v>
      </c>
      <c r="K129" s="290"/>
      <c r="L129" s="290">
        <f t="shared" si="52"/>
        <v>500</v>
      </c>
      <c r="M129" s="354">
        <f>+J129/L129</f>
        <v>1</v>
      </c>
      <c r="N129" s="353"/>
      <c r="O129" s="431">
        <f>+X129</f>
        <v>500</v>
      </c>
      <c r="P129" s="119"/>
      <c r="Q129" s="119"/>
      <c r="R129" s="119"/>
      <c r="S129" s="119"/>
      <c r="T129" s="119"/>
      <c r="U129" s="119"/>
      <c r="V129" s="119"/>
      <c r="W129" s="356"/>
      <c r="X129" s="290">
        <v>500</v>
      </c>
      <c r="Y129" s="119"/>
      <c r="Z129" s="119"/>
      <c r="AA129" s="119"/>
      <c r="AB129" s="119"/>
      <c r="AC129" s="119"/>
      <c r="AD129" s="119"/>
      <c r="AE129" s="355"/>
      <c r="AF129" s="356"/>
    </row>
    <row r="130" spans="1:103" outlineLevel="1" x14ac:dyDescent="0.25">
      <c r="A130" s="352" t="s">
        <v>1042</v>
      </c>
      <c r="B130" s="475" t="s">
        <v>1362</v>
      </c>
      <c r="C130" s="431"/>
      <c r="D130" s="119">
        <f>+J130</f>
        <v>2000</v>
      </c>
      <c r="E130" s="110">
        <v>4175.75</v>
      </c>
      <c r="F130" s="119">
        <f>+L130</f>
        <v>2000</v>
      </c>
      <c r="G130" s="294">
        <f t="shared" si="38"/>
        <v>1</v>
      </c>
      <c r="H130" s="490"/>
      <c r="I130" s="290"/>
      <c r="J130" s="119">
        <f>+O130+P130+Q130+R130+S130+T130+U130+V130+W130</f>
        <v>2000</v>
      </c>
      <c r="K130" s="290"/>
      <c r="L130" s="290">
        <f t="shared" si="52"/>
        <v>2000</v>
      </c>
      <c r="M130" s="354">
        <f>+J130/L130</f>
        <v>1</v>
      </c>
      <c r="N130" s="353"/>
      <c r="O130" s="431">
        <f>+X130</f>
        <v>1000</v>
      </c>
      <c r="P130" s="119">
        <v>1000</v>
      </c>
      <c r="Q130" s="119"/>
      <c r="R130" s="119"/>
      <c r="S130" s="119"/>
      <c r="T130" s="119"/>
      <c r="U130" s="119"/>
      <c r="V130" s="119"/>
      <c r="W130" s="356"/>
      <c r="X130" s="290">
        <f>500+150+350</f>
        <v>1000</v>
      </c>
      <c r="Y130" s="119">
        <v>1000</v>
      </c>
      <c r="Z130" s="119"/>
      <c r="AA130" s="119"/>
      <c r="AB130" s="119"/>
      <c r="AC130" s="119"/>
      <c r="AD130" s="119"/>
      <c r="AE130" s="355"/>
      <c r="AF130" s="356"/>
    </row>
    <row r="131" spans="1:103" s="351" customFormat="1" ht="15.75" x14ac:dyDescent="0.25">
      <c r="A131" s="345" t="s">
        <v>539</v>
      </c>
      <c r="B131" s="474" t="s">
        <v>577</v>
      </c>
      <c r="C131" s="430">
        <f>+C132+C133+C134</f>
        <v>400</v>
      </c>
      <c r="D131" s="455">
        <f>+D132+D133+D134</f>
        <v>650</v>
      </c>
      <c r="E131" s="274">
        <f>+E132+E133+E134</f>
        <v>677</v>
      </c>
      <c r="F131" s="455">
        <f>+F132+F133+F134</f>
        <v>400</v>
      </c>
      <c r="G131" s="292">
        <f t="shared" si="38"/>
        <v>1.625</v>
      </c>
      <c r="H131" s="489">
        <f>+F131/C131</f>
        <v>1</v>
      </c>
      <c r="I131" s="349"/>
      <c r="J131" s="347">
        <f>+J132+J133+J134</f>
        <v>650</v>
      </c>
      <c r="K131" s="291"/>
      <c r="L131" s="291">
        <f t="shared" si="52"/>
        <v>400</v>
      </c>
      <c r="M131" s="348">
        <f>+J131/L131</f>
        <v>1.625</v>
      </c>
      <c r="N131" s="392"/>
      <c r="O131" s="430">
        <f>+O132+O133+O134</f>
        <v>650</v>
      </c>
      <c r="P131" s="455">
        <f t="shared" ref="P131:AF131" si="60">SUM(P132:P134)</f>
        <v>0</v>
      </c>
      <c r="Q131" s="455">
        <f t="shared" si="60"/>
        <v>0</v>
      </c>
      <c r="R131" s="455">
        <f t="shared" si="60"/>
        <v>0</v>
      </c>
      <c r="S131" s="455">
        <f t="shared" si="60"/>
        <v>0</v>
      </c>
      <c r="T131" s="455">
        <f t="shared" si="60"/>
        <v>0</v>
      </c>
      <c r="U131" s="455">
        <f t="shared" si="60"/>
        <v>0</v>
      </c>
      <c r="V131" s="455">
        <f t="shared" si="60"/>
        <v>0</v>
      </c>
      <c r="W131" s="350">
        <f t="shared" si="60"/>
        <v>0</v>
      </c>
      <c r="X131" s="349">
        <f t="shared" si="60"/>
        <v>400</v>
      </c>
      <c r="Y131" s="455">
        <f t="shared" si="60"/>
        <v>0</v>
      </c>
      <c r="Z131" s="455">
        <f t="shared" si="60"/>
        <v>0</v>
      </c>
      <c r="AA131" s="455">
        <f t="shared" si="60"/>
        <v>0</v>
      </c>
      <c r="AB131" s="455">
        <f t="shared" si="60"/>
        <v>0</v>
      </c>
      <c r="AC131" s="455">
        <f t="shared" si="60"/>
        <v>0</v>
      </c>
      <c r="AD131" s="455">
        <f t="shared" si="60"/>
        <v>0</v>
      </c>
      <c r="AE131" s="455">
        <f t="shared" si="60"/>
        <v>0</v>
      </c>
      <c r="AF131" s="350">
        <f t="shared" si="60"/>
        <v>0</v>
      </c>
      <c r="AG131" s="293"/>
      <c r="AH131" s="293"/>
      <c r="AI131" s="293"/>
      <c r="AJ131" s="293"/>
      <c r="AK131" s="293"/>
      <c r="AL131" s="293"/>
      <c r="AM131" s="293"/>
      <c r="AN131" s="293"/>
      <c r="AO131" s="293"/>
      <c r="AP131" s="293"/>
      <c r="AQ131" s="293"/>
      <c r="AR131" s="293"/>
      <c r="AS131" s="293"/>
      <c r="AT131" s="293"/>
      <c r="AU131" s="293"/>
      <c r="AV131" s="293"/>
      <c r="AW131" s="293"/>
      <c r="AX131" s="293"/>
      <c r="AY131" s="293"/>
      <c r="AZ131" s="293"/>
      <c r="BA131" s="293"/>
      <c r="BB131" s="293"/>
      <c r="BC131" s="293"/>
      <c r="BD131" s="293"/>
      <c r="BE131" s="293"/>
      <c r="BF131" s="293"/>
      <c r="BG131" s="293"/>
      <c r="BH131" s="293"/>
      <c r="BI131" s="293"/>
      <c r="BJ131" s="293"/>
      <c r="BK131" s="293"/>
      <c r="BL131" s="293"/>
      <c r="BM131" s="293"/>
      <c r="BN131" s="293"/>
      <c r="BO131" s="293"/>
      <c r="BP131" s="293"/>
      <c r="BQ131" s="293"/>
      <c r="BR131" s="293"/>
      <c r="BS131" s="293"/>
      <c r="BT131" s="293"/>
      <c r="BU131" s="293"/>
      <c r="BV131" s="293"/>
      <c r="BW131" s="293"/>
      <c r="BX131" s="293"/>
      <c r="BY131" s="293"/>
      <c r="BZ131" s="293"/>
      <c r="CA131" s="293"/>
      <c r="CB131" s="293"/>
      <c r="CC131" s="293"/>
      <c r="CD131" s="293"/>
      <c r="CE131" s="293"/>
      <c r="CF131" s="293"/>
      <c r="CG131" s="293"/>
      <c r="CH131" s="293"/>
      <c r="CI131" s="293"/>
      <c r="CJ131" s="293"/>
      <c r="CK131" s="293"/>
      <c r="CL131" s="293"/>
      <c r="CM131" s="293"/>
      <c r="CN131" s="293"/>
      <c r="CO131" s="293"/>
      <c r="CP131" s="293"/>
      <c r="CQ131" s="293"/>
      <c r="CR131" s="293"/>
      <c r="CS131" s="293"/>
      <c r="CT131" s="293"/>
      <c r="CU131" s="293"/>
      <c r="CV131" s="293"/>
      <c r="CW131" s="293"/>
      <c r="CX131" s="293"/>
      <c r="CY131" s="293"/>
    </row>
    <row r="132" spans="1:103" outlineLevel="1" x14ac:dyDescent="0.25">
      <c r="A132" s="352" t="s">
        <v>540</v>
      </c>
      <c r="B132" s="475" t="s">
        <v>29</v>
      </c>
      <c r="C132" s="431">
        <v>400</v>
      </c>
      <c r="D132" s="119">
        <f>+J132</f>
        <v>400</v>
      </c>
      <c r="E132" s="110">
        <v>400</v>
      </c>
      <c r="F132" s="119">
        <f>+L132</f>
        <v>400</v>
      </c>
      <c r="G132" s="294">
        <f t="shared" si="38"/>
        <v>1</v>
      </c>
      <c r="H132" s="490">
        <f>+F132/C132</f>
        <v>1</v>
      </c>
      <c r="I132" s="290"/>
      <c r="J132" s="119">
        <f t="shared" ref="J132:J178" si="61">+O132+P132+Q132+R132+S132+T132+U132+V132+W132</f>
        <v>400</v>
      </c>
      <c r="K132" s="290"/>
      <c r="L132" s="290">
        <f t="shared" si="52"/>
        <v>400</v>
      </c>
      <c r="M132" s="354">
        <f>+J132/L132</f>
        <v>1</v>
      </c>
      <c r="N132" s="353"/>
      <c r="O132" s="431">
        <f>+X132</f>
        <v>400</v>
      </c>
      <c r="P132" s="119"/>
      <c r="Q132" s="119"/>
      <c r="R132" s="119"/>
      <c r="S132" s="119"/>
      <c r="T132" s="119"/>
      <c r="U132" s="119"/>
      <c r="V132" s="119"/>
      <c r="W132" s="356"/>
      <c r="X132" s="290">
        <v>400</v>
      </c>
      <c r="Y132" s="119"/>
      <c r="Z132" s="119"/>
      <c r="AA132" s="119"/>
      <c r="AB132" s="119"/>
      <c r="AC132" s="119"/>
      <c r="AD132" s="119"/>
      <c r="AE132" s="355"/>
      <c r="AF132" s="356"/>
    </row>
    <row r="133" spans="1:103" outlineLevel="1" x14ac:dyDescent="0.25">
      <c r="A133" s="352" t="s">
        <v>541</v>
      </c>
      <c r="B133" s="475" t="s">
        <v>30</v>
      </c>
      <c r="C133" s="431"/>
      <c r="D133" s="119">
        <f>+J133</f>
        <v>250</v>
      </c>
      <c r="E133" s="110">
        <v>277</v>
      </c>
      <c r="F133" s="119">
        <f>+L133</f>
        <v>0</v>
      </c>
      <c r="G133" s="294"/>
      <c r="H133" s="490"/>
      <c r="I133" s="290"/>
      <c r="J133" s="119">
        <f t="shared" si="61"/>
        <v>250</v>
      </c>
      <c r="K133" s="290"/>
      <c r="L133" s="290">
        <f t="shared" si="52"/>
        <v>0</v>
      </c>
      <c r="M133" s="354"/>
      <c r="N133" s="353"/>
      <c r="O133" s="431">
        <v>250</v>
      </c>
      <c r="P133" s="119"/>
      <c r="Q133" s="119"/>
      <c r="R133" s="119"/>
      <c r="S133" s="119"/>
      <c r="T133" s="119"/>
      <c r="U133" s="119"/>
      <c r="V133" s="119"/>
      <c r="W133" s="356"/>
      <c r="X133" s="290"/>
      <c r="Y133" s="119"/>
      <c r="Z133" s="119"/>
      <c r="AA133" s="119"/>
      <c r="AB133" s="119"/>
      <c r="AC133" s="119"/>
      <c r="AD133" s="119"/>
      <c r="AE133" s="355"/>
      <c r="AF133" s="356"/>
    </row>
    <row r="134" spans="1:103" outlineLevel="1" x14ac:dyDescent="0.25">
      <c r="A134" s="352" t="s">
        <v>1043</v>
      </c>
      <c r="B134" s="475" t="s">
        <v>31</v>
      </c>
      <c r="C134" s="431"/>
      <c r="D134" s="119">
        <f>+J134</f>
        <v>0</v>
      </c>
      <c r="E134" s="110"/>
      <c r="F134" s="119">
        <f>+L134</f>
        <v>0</v>
      </c>
      <c r="G134" s="294"/>
      <c r="H134" s="490"/>
      <c r="I134" s="290"/>
      <c r="J134" s="119"/>
      <c r="K134" s="290"/>
      <c r="L134" s="290">
        <f t="shared" si="52"/>
        <v>0</v>
      </c>
      <c r="M134" s="354"/>
      <c r="N134" s="353"/>
      <c r="O134" s="431"/>
      <c r="P134" s="119"/>
      <c r="Q134" s="119"/>
      <c r="R134" s="119"/>
      <c r="S134" s="119"/>
      <c r="T134" s="119"/>
      <c r="U134" s="119"/>
      <c r="V134" s="119"/>
      <c r="W134" s="356"/>
      <c r="X134" s="290"/>
      <c r="Y134" s="119"/>
      <c r="Z134" s="119"/>
      <c r="AA134" s="119"/>
      <c r="AB134" s="119"/>
      <c r="AC134" s="119"/>
      <c r="AD134" s="119"/>
      <c r="AE134" s="355"/>
      <c r="AF134" s="356"/>
    </row>
    <row r="135" spans="1:103" s="351" customFormat="1" ht="15.75" x14ac:dyDescent="0.25">
      <c r="A135" s="345" t="s">
        <v>543</v>
      </c>
      <c r="B135" s="474" t="s">
        <v>578</v>
      </c>
      <c r="C135" s="430">
        <f>+C136+C137+C138</f>
        <v>1112.3200000000002</v>
      </c>
      <c r="D135" s="455">
        <f>+D136+D137+D138</f>
        <v>1000</v>
      </c>
      <c r="E135" s="274">
        <f>+E136+E137+E138</f>
        <v>785.98</v>
      </c>
      <c r="F135" s="455">
        <f>+F136+F137+F138</f>
        <v>1000</v>
      </c>
      <c r="G135" s="292">
        <f t="shared" si="38"/>
        <v>1</v>
      </c>
      <c r="H135" s="489">
        <f>+F135/C135</f>
        <v>0.89902186421173746</v>
      </c>
      <c r="I135" s="349"/>
      <c r="J135" s="347">
        <f>+J136+J137+J138</f>
        <v>1000</v>
      </c>
      <c r="K135" s="291"/>
      <c r="L135" s="291">
        <f t="shared" si="52"/>
        <v>1000</v>
      </c>
      <c r="M135" s="348">
        <f>+J135/L135</f>
        <v>1</v>
      </c>
      <c r="N135" s="392"/>
      <c r="O135" s="430">
        <f>+O136+O137+O138</f>
        <v>1000</v>
      </c>
      <c r="P135" s="455">
        <f t="shared" ref="P135:AF135" si="62">SUM(P136:P138)</f>
        <v>0</v>
      </c>
      <c r="Q135" s="455">
        <f t="shared" si="62"/>
        <v>0</v>
      </c>
      <c r="R135" s="455">
        <f t="shared" si="62"/>
        <v>0</v>
      </c>
      <c r="S135" s="455">
        <f t="shared" si="62"/>
        <v>0</v>
      </c>
      <c r="T135" s="455">
        <f t="shared" si="62"/>
        <v>0</v>
      </c>
      <c r="U135" s="455">
        <f t="shared" si="62"/>
        <v>0</v>
      </c>
      <c r="V135" s="455">
        <f t="shared" si="62"/>
        <v>0</v>
      </c>
      <c r="W135" s="350">
        <f t="shared" si="62"/>
        <v>0</v>
      </c>
      <c r="X135" s="349">
        <f t="shared" si="62"/>
        <v>1000</v>
      </c>
      <c r="Y135" s="455">
        <f t="shared" si="62"/>
        <v>0</v>
      </c>
      <c r="Z135" s="455">
        <f t="shared" si="62"/>
        <v>0</v>
      </c>
      <c r="AA135" s="455">
        <f t="shared" si="62"/>
        <v>0</v>
      </c>
      <c r="AB135" s="455">
        <f t="shared" si="62"/>
        <v>0</v>
      </c>
      <c r="AC135" s="455">
        <f t="shared" si="62"/>
        <v>0</v>
      </c>
      <c r="AD135" s="455">
        <f t="shared" si="62"/>
        <v>0</v>
      </c>
      <c r="AE135" s="455">
        <f t="shared" si="62"/>
        <v>0</v>
      </c>
      <c r="AF135" s="350">
        <f t="shared" si="62"/>
        <v>0</v>
      </c>
      <c r="AG135" s="293"/>
      <c r="AH135" s="293"/>
      <c r="AI135" s="293"/>
      <c r="AJ135" s="293"/>
      <c r="AK135" s="293"/>
      <c r="AL135" s="293"/>
      <c r="AM135" s="293"/>
      <c r="AN135" s="293"/>
      <c r="AO135" s="293"/>
      <c r="AP135" s="293"/>
      <c r="AQ135" s="293"/>
      <c r="AR135" s="293"/>
      <c r="AS135" s="293"/>
      <c r="AT135" s="293"/>
      <c r="AU135" s="293"/>
      <c r="AV135" s="293"/>
      <c r="AW135" s="293"/>
      <c r="AX135" s="293"/>
      <c r="AY135" s="293"/>
      <c r="AZ135" s="293"/>
      <c r="BA135" s="293"/>
      <c r="BB135" s="293"/>
      <c r="BC135" s="293"/>
      <c r="BD135" s="293"/>
      <c r="BE135" s="293"/>
      <c r="BF135" s="293"/>
      <c r="BG135" s="293"/>
      <c r="BH135" s="293"/>
      <c r="BI135" s="293"/>
      <c r="BJ135" s="293"/>
      <c r="BK135" s="293"/>
      <c r="BL135" s="293"/>
      <c r="BM135" s="293"/>
      <c r="BN135" s="293"/>
      <c r="BO135" s="293"/>
      <c r="BP135" s="293"/>
      <c r="BQ135" s="293"/>
      <c r="BR135" s="293"/>
      <c r="BS135" s="293"/>
      <c r="BT135" s="293"/>
      <c r="BU135" s="293"/>
      <c r="BV135" s="293"/>
      <c r="BW135" s="293"/>
      <c r="BX135" s="293"/>
      <c r="BY135" s="293"/>
      <c r="BZ135" s="293"/>
      <c r="CA135" s="293"/>
      <c r="CB135" s="293"/>
      <c r="CC135" s="293"/>
      <c r="CD135" s="293"/>
      <c r="CE135" s="293"/>
      <c r="CF135" s="293"/>
      <c r="CG135" s="293"/>
      <c r="CH135" s="293"/>
      <c r="CI135" s="293"/>
      <c r="CJ135" s="293"/>
      <c r="CK135" s="293"/>
      <c r="CL135" s="293"/>
      <c r="CM135" s="293"/>
      <c r="CN135" s="293"/>
      <c r="CO135" s="293"/>
      <c r="CP135" s="293"/>
      <c r="CQ135" s="293"/>
      <c r="CR135" s="293"/>
      <c r="CS135" s="293"/>
      <c r="CT135" s="293"/>
      <c r="CU135" s="293"/>
      <c r="CV135" s="293"/>
      <c r="CW135" s="293"/>
      <c r="CX135" s="293"/>
      <c r="CY135" s="293"/>
    </row>
    <row r="136" spans="1:103" outlineLevel="1" x14ac:dyDescent="0.25">
      <c r="A136" s="352" t="s">
        <v>544</v>
      </c>
      <c r="B136" s="475" t="s">
        <v>32</v>
      </c>
      <c r="C136" s="431">
        <v>500</v>
      </c>
      <c r="D136" s="119">
        <f>+J136</f>
        <v>500</v>
      </c>
      <c r="E136" s="110">
        <v>500</v>
      </c>
      <c r="F136" s="119">
        <f>+L136</f>
        <v>500</v>
      </c>
      <c r="G136" s="294">
        <f t="shared" si="38"/>
        <v>1</v>
      </c>
      <c r="H136" s="490">
        <f>+F136/C136</f>
        <v>1</v>
      </c>
      <c r="I136" s="290"/>
      <c r="J136" s="119">
        <f t="shared" si="61"/>
        <v>500</v>
      </c>
      <c r="K136" s="290"/>
      <c r="L136" s="290">
        <f t="shared" si="52"/>
        <v>500</v>
      </c>
      <c r="M136" s="354">
        <f>+J136/L136</f>
        <v>1</v>
      </c>
      <c r="N136" s="353"/>
      <c r="O136" s="431">
        <f>+X136</f>
        <v>500</v>
      </c>
      <c r="P136" s="119"/>
      <c r="Q136" s="119"/>
      <c r="R136" s="119"/>
      <c r="S136" s="119"/>
      <c r="T136" s="119"/>
      <c r="U136" s="119"/>
      <c r="V136" s="119"/>
      <c r="W136" s="356"/>
      <c r="X136" s="290">
        <v>500</v>
      </c>
      <c r="Y136" s="119"/>
      <c r="Z136" s="119"/>
      <c r="AA136" s="119"/>
      <c r="AB136" s="119"/>
      <c r="AC136" s="119"/>
      <c r="AD136" s="119"/>
      <c r="AE136" s="355"/>
      <c r="AF136" s="356"/>
    </row>
    <row r="137" spans="1:103" outlineLevel="1" x14ac:dyDescent="0.25">
      <c r="A137" s="352" t="s">
        <v>545</v>
      </c>
      <c r="B137" s="475" t="s">
        <v>33</v>
      </c>
      <c r="C137" s="431">
        <v>612.32000000000005</v>
      </c>
      <c r="D137" s="119">
        <f>+J137</f>
        <v>500</v>
      </c>
      <c r="E137" s="110">
        <v>285.98</v>
      </c>
      <c r="F137" s="119">
        <f>+L137</f>
        <v>500</v>
      </c>
      <c r="G137" s="294">
        <f t="shared" si="38"/>
        <v>1</v>
      </c>
      <c r="H137" s="490">
        <f>+F137/C137</f>
        <v>0.81656650117585572</v>
      </c>
      <c r="I137" s="290"/>
      <c r="J137" s="119">
        <f t="shared" si="61"/>
        <v>500</v>
      </c>
      <c r="K137" s="290"/>
      <c r="L137" s="290">
        <f t="shared" si="52"/>
        <v>500</v>
      </c>
      <c r="M137" s="354">
        <f>+J137/L137</f>
        <v>1</v>
      </c>
      <c r="N137" s="353"/>
      <c r="O137" s="431">
        <f>+X137</f>
        <v>500</v>
      </c>
      <c r="P137" s="119"/>
      <c r="Q137" s="119"/>
      <c r="R137" s="119"/>
      <c r="S137" s="119"/>
      <c r="T137" s="119"/>
      <c r="U137" s="119"/>
      <c r="V137" s="119"/>
      <c r="W137" s="356"/>
      <c r="X137" s="290">
        <v>500</v>
      </c>
      <c r="Y137" s="119"/>
      <c r="Z137" s="119"/>
      <c r="AA137" s="119"/>
      <c r="AB137" s="119"/>
      <c r="AC137" s="119"/>
      <c r="AD137" s="119"/>
      <c r="AE137" s="355"/>
      <c r="AF137" s="356"/>
    </row>
    <row r="138" spans="1:103" outlineLevel="1" x14ac:dyDescent="0.25">
      <c r="A138" s="352" t="s">
        <v>1044</v>
      </c>
      <c r="B138" s="475" t="s">
        <v>34</v>
      </c>
      <c r="C138" s="431"/>
      <c r="D138" s="119">
        <f>+J138</f>
        <v>0</v>
      </c>
      <c r="E138" s="110"/>
      <c r="F138" s="119">
        <f>+L138</f>
        <v>0</v>
      </c>
      <c r="G138" s="294"/>
      <c r="H138" s="490"/>
      <c r="I138" s="290"/>
      <c r="J138" s="119">
        <f t="shared" si="61"/>
        <v>0</v>
      </c>
      <c r="K138" s="290"/>
      <c r="L138" s="290">
        <f t="shared" si="52"/>
        <v>0</v>
      </c>
      <c r="M138" s="354"/>
      <c r="N138" s="353"/>
      <c r="O138" s="431"/>
      <c r="P138" s="119"/>
      <c r="Q138" s="119"/>
      <c r="R138" s="119"/>
      <c r="S138" s="119"/>
      <c r="T138" s="119"/>
      <c r="U138" s="119"/>
      <c r="V138" s="119"/>
      <c r="W138" s="356"/>
      <c r="X138" s="290"/>
      <c r="Y138" s="119"/>
      <c r="Z138" s="119"/>
      <c r="AA138" s="119"/>
      <c r="AB138" s="119"/>
      <c r="AC138" s="119"/>
      <c r="AD138" s="119"/>
      <c r="AE138" s="355"/>
      <c r="AF138" s="356"/>
    </row>
    <row r="139" spans="1:103" s="351" customFormat="1" ht="15.75" x14ac:dyDescent="0.25">
      <c r="A139" s="345" t="s">
        <v>547</v>
      </c>
      <c r="B139" s="474" t="s">
        <v>579</v>
      </c>
      <c r="C139" s="430">
        <f>+C140+C141+C142</f>
        <v>2000</v>
      </c>
      <c r="D139" s="455">
        <f>+D140+D141+D142</f>
        <v>4100</v>
      </c>
      <c r="E139" s="274">
        <f>+E140+E141+E142</f>
        <v>2504.1799999999998</v>
      </c>
      <c r="F139" s="455">
        <f>+F140+F141+F142</f>
        <v>2600</v>
      </c>
      <c r="G139" s="292">
        <f t="shared" si="38"/>
        <v>1.5769230769230769</v>
      </c>
      <c r="H139" s="489">
        <f>+F139/C139</f>
        <v>1.3</v>
      </c>
      <c r="I139" s="349"/>
      <c r="J139" s="347">
        <f>+J140+J141+J142</f>
        <v>4100</v>
      </c>
      <c r="K139" s="291"/>
      <c r="L139" s="291">
        <f t="shared" si="52"/>
        <v>2600</v>
      </c>
      <c r="M139" s="348">
        <f t="shared" ref="M139:M144" si="63">+J139/L139</f>
        <v>1.5769230769230769</v>
      </c>
      <c r="N139" s="392"/>
      <c r="O139" s="430">
        <f>+O140+O141+O142</f>
        <v>2900</v>
      </c>
      <c r="P139" s="455">
        <f t="shared" ref="P139:AF139" si="64">SUM(P140:P142)</f>
        <v>0</v>
      </c>
      <c r="Q139" s="455">
        <f t="shared" si="64"/>
        <v>0</v>
      </c>
      <c r="R139" s="455">
        <f t="shared" si="64"/>
        <v>0</v>
      </c>
      <c r="S139" s="455">
        <f t="shared" si="64"/>
        <v>0</v>
      </c>
      <c r="T139" s="455">
        <f t="shared" si="64"/>
        <v>0</v>
      </c>
      <c r="U139" s="455">
        <f t="shared" si="64"/>
        <v>0</v>
      </c>
      <c r="V139" s="455">
        <f t="shared" si="64"/>
        <v>1200</v>
      </c>
      <c r="W139" s="350">
        <f t="shared" si="64"/>
        <v>0</v>
      </c>
      <c r="X139" s="349">
        <f t="shared" si="64"/>
        <v>1400</v>
      </c>
      <c r="Y139" s="455">
        <f t="shared" si="64"/>
        <v>0</v>
      </c>
      <c r="Z139" s="455">
        <f t="shared" si="64"/>
        <v>0</v>
      </c>
      <c r="AA139" s="455">
        <f t="shared" si="64"/>
        <v>0</v>
      </c>
      <c r="AB139" s="455">
        <f t="shared" si="64"/>
        <v>0</v>
      </c>
      <c r="AC139" s="455">
        <f t="shared" si="64"/>
        <v>0</v>
      </c>
      <c r="AD139" s="455">
        <f t="shared" si="64"/>
        <v>0</v>
      </c>
      <c r="AE139" s="455">
        <f t="shared" si="64"/>
        <v>1200</v>
      </c>
      <c r="AF139" s="350">
        <f t="shared" si="64"/>
        <v>0</v>
      </c>
      <c r="AG139" s="293"/>
      <c r="AH139" s="293"/>
      <c r="AI139" s="293"/>
      <c r="AJ139" s="293"/>
      <c r="AK139" s="293"/>
      <c r="AL139" s="293"/>
      <c r="AM139" s="293"/>
      <c r="AN139" s="293"/>
      <c r="AO139" s="293"/>
      <c r="AP139" s="293"/>
      <c r="AQ139" s="293"/>
      <c r="AR139" s="293"/>
      <c r="AS139" s="293"/>
      <c r="AT139" s="293"/>
      <c r="AU139" s="293"/>
      <c r="AV139" s="293"/>
      <c r="AW139" s="293"/>
      <c r="AX139" s="293"/>
      <c r="AY139" s="293"/>
      <c r="AZ139" s="293"/>
      <c r="BA139" s="293"/>
      <c r="BB139" s="293"/>
      <c r="BC139" s="293"/>
      <c r="BD139" s="293"/>
      <c r="BE139" s="293"/>
      <c r="BF139" s="293"/>
      <c r="BG139" s="293"/>
      <c r="BH139" s="293"/>
      <c r="BI139" s="293"/>
      <c r="BJ139" s="293"/>
      <c r="BK139" s="293"/>
      <c r="BL139" s="293"/>
      <c r="BM139" s="293"/>
      <c r="BN139" s="293"/>
      <c r="BO139" s="293"/>
      <c r="BP139" s="293"/>
      <c r="BQ139" s="293"/>
      <c r="BR139" s="293"/>
      <c r="BS139" s="293"/>
      <c r="BT139" s="293"/>
      <c r="BU139" s="293"/>
      <c r="BV139" s="293"/>
      <c r="BW139" s="293"/>
      <c r="BX139" s="293"/>
      <c r="BY139" s="293"/>
      <c r="BZ139" s="293"/>
      <c r="CA139" s="293"/>
      <c r="CB139" s="293"/>
      <c r="CC139" s="293"/>
      <c r="CD139" s="293"/>
      <c r="CE139" s="293"/>
      <c r="CF139" s="293"/>
      <c r="CG139" s="293"/>
      <c r="CH139" s="293"/>
      <c r="CI139" s="293"/>
      <c r="CJ139" s="293"/>
      <c r="CK139" s="293"/>
      <c r="CL139" s="293"/>
      <c r="CM139" s="293"/>
      <c r="CN139" s="293"/>
      <c r="CO139" s="293"/>
      <c r="CP139" s="293"/>
      <c r="CQ139" s="293"/>
      <c r="CR139" s="293"/>
      <c r="CS139" s="293"/>
      <c r="CT139" s="293"/>
      <c r="CU139" s="293"/>
      <c r="CV139" s="293"/>
      <c r="CW139" s="293"/>
      <c r="CX139" s="293"/>
      <c r="CY139" s="293"/>
    </row>
    <row r="140" spans="1:103" outlineLevel="1" x14ac:dyDescent="0.25">
      <c r="A140" s="352" t="s">
        <v>548</v>
      </c>
      <c r="B140" s="475" t="s">
        <v>35</v>
      </c>
      <c r="C140" s="431">
        <v>2000</v>
      </c>
      <c r="D140" s="119">
        <f>+J140</f>
        <v>2000</v>
      </c>
      <c r="E140" s="110">
        <v>2000</v>
      </c>
      <c r="F140" s="119">
        <f>+L140</f>
        <v>2000</v>
      </c>
      <c r="G140" s="294">
        <f t="shared" si="38"/>
        <v>1</v>
      </c>
      <c r="H140" s="490">
        <f>+F140/C140</f>
        <v>1</v>
      </c>
      <c r="I140" s="290"/>
      <c r="J140" s="119">
        <f t="shared" si="61"/>
        <v>2000</v>
      </c>
      <c r="K140" s="290"/>
      <c r="L140" s="290">
        <f t="shared" si="52"/>
        <v>2000</v>
      </c>
      <c r="M140" s="354">
        <f t="shared" si="63"/>
        <v>1</v>
      </c>
      <c r="N140" s="353"/>
      <c r="O140" s="431">
        <f>+X140</f>
        <v>800</v>
      </c>
      <c r="P140" s="119"/>
      <c r="Q140" s="119"/>
      <c r="R140" s="119"/>
      <c r="S140" s="119"/>
      <c r="T140" s="119"/>
      <c r="U140" s="119"/>
      <c r="V140" s="119">
        <f>+AE140</f>
        <v>1200</v>
      </c>
      <c r="W140" s="356"/>
      <c r="X140" s="290">
        <v>800</v>
      </c>
      <c r="Y140" s="119"/>
      <c r="Z140" s="119"/>
      <c r="AA140" s="119"/>
      <c r="AB140" s="119"/>
      <c r="AC140" s="119"/>
      <c r="AD140" s="119"/>
      <c r="AE140" s="355">
        <v>1200</v>
      </c>
      <c r="AF140" s="356"/>
    </row>
    <row r="141" spans="1:103" outlineLevel="1" x14ac:dyDescent="0.25">
      <c r="A141" s="352" t="s">
        <v>549</v>
      </c>
      <c r="B141" s="475" t="s">
        <v>36</v>
      </c>
      <c r="C141" s="431"/>
      <c r="D141" s="119">
        <f>+J141</f>
        <v>2000</v>
      </c>
      <c r="E141" s="110">
        <v>504.18</v>
      </c>
      <c r="F141" s="119">
        <f>+L141</f>
        <v>500</v>
      </c>
      <c r="G141" s="294">
        <f t="shared" si="38"/>
        <v>4</v>
      </c>
      <c r="H141" s="490"/>
      <c r="I141" s="290"/>
      <c r="J141" s="119">
        <f t="shared" si="61"/>
        <v>2000</v>
      </c>
      <c r="K141" s="290"/>
      <c r="L141" s="290">
        <f t="shared" si="52"/>
        <v>500</v>
      </c>
      <c r="M141" s="354">
        <f t="shared" si="63"/>
        <v>4</v>
      </c>
      <c r="N141" s="353"/>
      <c r="O141" s="431">
        <v>2000</v>
      </c>
      <c r="P141" s="119"/>
      <c r="Q141" s="119"/>
      <c r="R141" s="119"/>
      <c r="S141" s="119"/>
      <c r="T141" s="119"/>
      <c r="U141" s="119"/>
      <c r="V141" s="119"/>
      <c r="W141" s="356"/>
      <c r="X141" s="290">
        <v>500</v>
      </c>
      <c r="Y141" s="119"/>
      <c r="Z141" s="119"/>
      <c r="AA141" s="119"/>
      <c r="AB141" s="119"/>
      <c r="AC141" s="119"/>
      <c r="AD141" s="119"/>
      <c r="AE141" s="355"/>
      <c r="AF141" s="356"/>
    </row>
    <row r="142" spans="1:103" outlineLevel="1" x14ac:dyDescent="0.25">
      <c r="A142" s="352" t="s">
        <v>1045</v>
      </c>
      <c r="B142" s="475" t="s">
        <v>37</v>
      </c>
      <c r="C142" s="431"/>
      <c r="D142" s="119">
        <f>+J142</f>
        <v>100</v>
      </c>
      <c r="E142" s="110"/>
      <c r="F142" s="119">
        <f>+L142</f>
        <v>100</v>
      </c>
      <c r="G142" s="294">
        <f t="shared" si="38"/>
        <v>1</v>
      </c>
      <c r="H142" s="490"/>
      <c r="I142" s="290"/>
      <c r="J142" s="119">
        <f t="shared" si="61"/>
        <v>100</v>
      </c>
      <c r="K142" s="290"/>
      <c r="L142" s="290">
        <f t="shared" si="52"/>
        <v>100</v>
      </c>
      <c r="M142" s="354">
        <f t="shared" si="63"/>
        <v>1</v>
      </c>
      <c r="N142" s="353"/>
      <c r="O142" s="431">
        <f>+X142</f>
        <v>100</v>
      </c>
      <c r="P142" s="119"/>
      <c r="Q142" s="119"/>
      <c r="R142" s="119"/>
      <c r="S142" s="119"/>
      <c r="T142" s="119"/>
      <c r="U142" s="119"/>
      <c r="V142" s="119"/>
      <c r="W142" s="356"/>
      <c r="X142" s="290">
        <v>100</v>
      </c>
      <c r="Y142" s="119"/>
      <c r="Z142" s="119"/>
      <c r="AA142" s="119"/>
      <c r="AB142" s="119"/>
      <c r="AC142" s="119"/>
      <c r="AD142" s="119"/>
      <c r="AE142" s="355"/>
      <c r="AF142" s="356"/>
    </row>
    <row r="143" spans="1:103" s="351" customFormat="1" ht="15.75" x14ac:dyDescent="0.25">
      <c r="A143" s="345" t="s">
        <v>551</v>
      </c>
      <c r="B143" s="474" t="s">
        <v>580</v>
      </c>
      <c r="C143" s="430">
        <f>+C144+C145+C146</f>
        <v>1107.3</v>
      </c>
      <c r="D143" s="455">
        <f>+D144+D145+D146</f>
        <v>1300</v>
      </c>
      <c r="E143" s="274">
        <f>+E144+E145+E146</f>
        <v>800</v>
      </c>
      <c r="F143" s="455">
        <f>+F144+F145+F146</f>
        <v>800</v>
      </c>
      <c r="G143" s="292">
        <f t="shared" si="38"/>
        <v>1.625</v>
      </c>
      <c r="H143" s="489">
        <f>+F143/C143</f>
        <v>0.72247809988259737</v>
      </c>
      <c r="I143" s="349"/>
      <c r="J143" s="347">
        <f>+J144+J145+J146</f>
        <v>1300</v>
      </c>
      <c r="K143" s="291"/>
      <c r="L143" s="291">
        <f t="shared" si="52"/>
        <v>800</v>
      </c>
      <c r="M143" s="348">
        <f t="shared" si="63"/>
        <v>1.625</v>
      </c>
      <c r="N143" s="392"/>
      <c r="O143" s="430">
        <f>+O144+O145+O146</f>
        <v>800</v>
      </c>
      <c r="P143" s="455">
        <f t="shared" ref="P143:AF143" si="65">SUM(P144:P146)</f>
        <v>0</v>
      </c>
      <c r="Q143" s="455">
        <f t="shared" si="65"/>
        <v>0</v>
      </c>
      <c r="R143" s="455">
        <f t="shared" si="65"/>
        <v>0</v>
      </c>
      <c r="S143" s="455">
        <f t="shared" si="65"/>
        <v>0</v>
      </c>
      <c r="T143" s="455">
        <f t="shared" si="65"/>
        <v>0</v>
      </c>
      <c r="U143" s="455">
        <f t="shared" si="65"/>
        <v>0</v>
      </c>
      <c r="V143" s="455">
        <f t="shared" si="65"/>
        <v>500</v>
      </c>
      <c r="W143" s="350">
        <f t="shared" si="65"/>
        <v>0</v>
      </c>
      <c r="X143" s="349">
        <f t="shared" si="65"/>
        <v>300</v>
      </c>
      <c r="Y143" s="455">
        <f t="shared" si="65"/>
        <v>0</v>
      </c>
      <c r="Z143" s="455">
        <f t="shared" si="65"/>
        <v>0</v>
      </c>
      <c r="AA143" s="455">
        <f t="shared" si="65"/>
        <v>0</v>
      </c>
      <c r="AB143" s="455">
        <f t="shared" si="65"/>
        <v>0</v>
      </c>
      <c r="AC143" s="455">
        <f t="shared" si="65"/>
        <v>0</v>
      </c>
      <c r="AD143" s="455">
        <f t="shared" si="65"/>
        <v>0</v>
      </c>
      <c r="AE143" s="455">
        <f t="shared" si="65"/>
        <v>500</v>
      </c>
      <c r="AF143" s="350">
        <f t="shared" si="65"/>
        <v>0</v>
      </c>
      <c r="AG143" s="293"/>
      <c r="AH143" s="293"/>
      <c r="AI143" s="293"/>
      <c r="AJ143" s="293"/>
      <c r="AK143" s="293"/>
      <c r="AL143" s="293"/>
      <c r="AM143" s="293"/>
      <c r="AN143" s="293"/>
      <c r="AO143" s="293"/>
      <c r="AP143" s="293"/>
      <c r="AQ143" s="293"/>
      <c r="AR143" s="293"/>
      <c r="AS143" s="293"/>
      <c r="AT143" s="293"/>
      <c r="AU143" s="293"/>
      <c r="AV143" s="293"/>
      <c r="AW143" s="293"/>
      <c r="AX143" s="293"/>
      <c r="AY143" s="293"/>
      <c r="AZ143" s="293"/>
      <c r="BA143" s="293"/>
      <c r="BB143" s="293"/>
      <c r="BC143" s="293"/>
      <c r="BD143" s="293"/>
      <c r="BE143" s="293"/>
      <c r="BF143" s="293"/>
      <c r="BG143" s="293"/>
      <c r="BH143" s="293"/>
      <c r="BI143" s="293"/>
      <c r="BJ143" s="293"/>
      <c r="BK143" s="293"/>
      <c r="BL143" s="293"/>
      <c r="BM143" s="293"/>
      <c r="BN143" s="293"/>
      <c r="BO143" s="293"/>
      <c r="BP143" s="293"/>
      <c r="BQ143" s="293"/>
      <c r="BR143" s="293"/>
      <c r="BS143" s="293"/>
      <c r="BT143" s="293"/>
      <c r="BU143" s="293"/>
      <c r="BV143" s="293"/>
      <c r="BW143" s="293"/>
      <c r="BX143" s="293"/>
      <c r="BY143" s="293"/>
      <c r="BZ143" s="293"/>
      <c r="CA143" s="293"/>
      <c r="CB143" s="293"/>
      <c r="CC143" s="293"/>
      <c r="CD143" s="293"/>
      <c r="CE143" s="293"/>
      <c r="CF143" s="293"/>
      <c r="CG143" s="293"/>
      <c r="CH143" s="293"/>
      <c r="CI143" s="293"/>
      <c r="CJ143" s="293"/>
      <c r="CK143" s="293"/>
      <c r="CL143" s="293"/>
      <c r="CM143" s="293"/>
      <c r="CN143" s="293"/>
      <c r="CO143" s="293"/>
      <c r="CP143" s="293"/>
      <c r="CQ143" s="293"/>
      <c r="CR143" s="293"/>
      <c r="CS143" s="293"/>
      <c r="CT143" s="293"/>
      <c r="CU143" s="293"/>
      <c r="CV143" s="293"/>
      <c r="CW143" s="293"/>
      <c r="CX143" s="293"/>
      <c r="CY143" s="293"/>
    </row>
    <row r="144" spans="1:103" outlineLevel="1" x14ac:dyDescent="0.25">
      <c r="A144" s="352" t="s">
        <v>552</v>
      </c>
      <c r="B144" s="475" t="s">
        <v>38</v>
      </c>
      <c r="C144" s="431">
        <v>800</v>
      </c>
      <c r="D144" s="119">
        <f>+J144</f>
        <v>800</v>
      </c>
      <c r="E144" s="110">
        <v>800</v>
      </c>
      <c r="F144" s="119">
        <f>+L144</f>
        <v>800</v>
      </c>
      <c r="G144" s="294">
        <f t="shared" si="38"/>
        <v>1</v>
      </c>
      <c r="H144" s="490">
        <f>+F144/C144</f>
        <v>1</v>
      </c>
      <c r="I144" s="290"/>
      <c r="J144" s="119">
        <f t="shared" si="61"/>
        <v>800</v>
      </c>
      <c r="K144" s="290"/>
      <c r="L144" s="290">
        <f t="shared" si="52"/>
        <v>800</v>
      </c>
      <c r="M144" s="354">
        <f t="shared" si="63"/>
        <v>1</v>
      </c>
      <c r="N144" s="353"/>
      <c r="O144" s="431">
        <f>+X144</f>
        <v>300</v>
      </c>
      <c r="P144" s="119"/>
      <c r="Q144" s="119"/>
      <c r="R144" s="119"/>
      <c r="S144" s="119"/>
      <c r="T144" s="119"/>
      <c r="U144" s="119"/>
      <c r="V144" s="119">
        <f>+AE144</f>
        <v>500</v>
      </c>
      <c r="W144" s="356"/>
      <c r="X144" s="290">
        <v>300</v>
      </c>
      <c r="Y144" s="119"/>
      <c r="Z144" s="119"/>
      <c r="AA144" s="119"/>
      <c r="AB144" s="119"/>
      <c r="AC144" s="119"/>
      <c r="AD144" s="119"/>
      <c r="AE144" s="355">
        <v>500</v>
      </c>
      <c r="AF144" s="356"/>
    </row>
    <row r="145" spans="1:103" outlineLevel="1" x14ac:dyDescent="0.25">
      <c r="A145" s="352" t="s">
        <v>553</v>
      </c>
      <c r="B145" s="475" t="s">
        <v>39</v>
      </c>
      <c r="C145" s="431">
        <v>307.3</v>
      </c>
      <c r="D145" s="119">
        <f>+J145</f>
        <v>500</v>
      </c>
      <c r="E145" s="110"/>
      <c r="F145" s="119">
        <f>+L145</f>
        <v>0</v>
      </c>
      <c r="G145" s="294"/>
      <c r="H145" s="490">
        <f>+F145/C145</f>
        <v>0</v>
      </c>
      <c r="I145" s="290"/>
      <c r="J145" s="119">
        <f t="shared" si="61"/>
        <v>500</v>
      </c>
      <c r="K145" s="290"/>
      <c r="L145" s="290">
        <f t="shared" si="52"/>
        <v>0</v>
      </c>
      <c r="M145" s="354"/>
      <c r="N145" s="353"/>
      <c r="O145" s="431">
        <v>500</v>
      </c>
      <c r="P145" s="119"/>
      <c r="Q145" s="119"/>
      <c r="R145" s="119"/>
      <c r="S145" s="119"/>
      <c r="T145" s="119"/>
      <c r="U145" s="119"/>
      <c r="V145" s="119"/>
      <c r="W145" s="356"/>
      <c r="X145" s="290"/>
      <c r="Y145" s="119"/>
      <c r="Z145" s="119"/>
      <c r="AA145" s="119"/>
      <c r="AB145" s="119"/>
      <c r="AC145" s="119"/>
      <c r="AD145" s="119"/>
      <c r="AE145" s="355"/>
      <c r="AF145" s="356"/>
    </row>
    <row r="146" spans="1:103" outlineLevel="1" x14ac:dyDescent="0.25">
      <c r="A146" s="352" t="s">
        <v>1046</v>
      </c>
      <c r="B146" s="475" t="s">
        <v>40</v>
      </c>
      <c r="C146" s="431"/>
      <c r="D146" s="119">
        <f>+J146</f>
        <v>0</v>
      </c>
      <c r="E146" s="110"/>
      <c r="F146" s="119">
        <f>+L146</f>
        <v>0</v>
      </c>
      <c r="G146" s="294"/>
      <c r="H146" s="490"/>
      <c r="I146" s="290"/>
      <c r="J146" s="119">
        <f t="shared" si="61"/>
        <v>0</v>
      </c>
      <c r="K146" s="290"/>
      <c r="L146" s="290">
        <f t="shared" si="52"/>
        <v>0</v>
      </c>
      <c r="M146" s="354"/>
      <c r="N146" s="353"/>
      <c r="O146" s="431"/>
      <c r="P146" s="119"/>
      <c r="Q146" s="119"/>
      <c r="R146" s="119"/>
      <c r="S146" s="119"/>
      <c r="T146" s="119"/>
      <c r="U146" s="119"/>
      <c r="V146" s="119"/>
      <c r="W146" s="356"/>
      <c r="X146" s="290"/>
      <c r="Y146" s="119"/>
      <c r="Z146" s="119"/>
      <c r="AA146" s="119"/>
      <c r="AB146" s="119"/>
      <c r="AC146" s="119"/>
      <c r="AD146" s="119"/>
      <c r="AE146" s="355"/>
      <c r="AF146" s="356"/>
    </row>
    <row r="147" spans="1:103" s="351" customFormat="1" ht="15.75" x14ac:dyDescent="0.25">
      <c r="A147" s="345" t="s">
        <v>555</v>
      </c>
      <c r="B147" s="474" t="s">
        <v>1414</v>
      </c>
      <c r="C147" s="430">
        <f>+C148+C149+C150</f>
        <v>0</v>
      </c>
      <c r="D147" s="455">
        <f>+D148+D149+D150</f>
        <v>0</v>
      </c>
      <c r="E147" s="274">
        <f>+E148+E149+E150</f>
        <v>0</v>
      </c>
      <c r="F147" s="455">
        <f>+F148+F149+F150</f>
        <v>0</v>
      </c>
      <c r="G147" s="292"/>
      <c r="H147" s="489"/>
      <c r="I147" s="349"/>
      <c r="J147" s="347">
        <f>+J148+J149+J150</f>
        <v>0</v>
      </c>
      <c r="K147" s="291"/>
      <c r="L147" s="291">
        <f t="shared" si="52"/>
        <v>0</v>
      </c>
      <c r="M147" s="348"/>
      <c r="N147" s="392"/>
      <c r="O147" s="430">
        <f>+O148+O149+O150</f>
        <v>0</v>
      </c>
      <c r="P147" s="455">
        <f>SUM(P148:P150)</f>
        <v>0</v>
      </c>
      <c r="Q147" s="455">
        <f>SUM(Q148:Q150)</f>
        <v>0</v>
      </c>
      <c r="R147" s="455">
        <f>SUM(R148:R150)</f>
        <v>0</v>
      </c>
      <c r="S147" s="455">
        <f>SUM(S148:S150)</f>
        <v>0</v>
      </c>
      <c r="T147" s="455">
        <f t="shared" ref="T147:AF147" si="66">SUM(T148:T150)</f>
        <v>0</v>
      </c>
      <c r="U147" s="455">
        <f t="shared" si="66"/>
        <v>0</v>
      </c>
      <c r="V147" s="455">
        <f t="shared" si="66"/>
        <v>0</v>
      </c>
      <c r="W147" s="350">
        <f t="shared" si="66"/>
        <v>0</v>
      </c>
      <c r="X147" s="349">
        <f t="shared" si="66"/>
        <v>0</v>
      </c>
      <c r="Y147" s="455">
        <f t="shared" si="66"/>
        <v>0</v>
      </c>
      <c r="Z147" s="455">
        <f t="shared" si="66"/>
        <v>0</v>
      </c>
      <c r="AA147" s="455">
        <f t="shared" si="66"/>
        <v>0</v>
      </c>
      <c r="AB147" s="455">
        <f t="shared" si="66"/>
        <v>0</v>
      </c>
      <c r="AC147" s="455">
        <f t="shared" si="66"/>
        <v>0</v>
      </c>
      <c r="AD147" s="455">
        <f t="shared" si="66"/>
        <v>0</v>
      </c>
      <c r="AE147" s="455">
        <f t="shared" si="66"/>
        <v>0</v>
      </c>
      <c r="AF147" s="350">
        <f t="shared" si="66"/>
        <v>0</v>
      </c>
      <c r="AG147" s="293"/>
      <c r="AH147" s="293"/>
      <c r="AI147" s="293"/>
      <c r="AJ147" s="293"/>
      <c r="AK147" s="293"/>
      <c r="AL147" s="293"/>
      <c r="AM147" s="293"/>
      <c r="AN147" s="293"/>
      <c r="AO147" s="293"/>
      <c r="AP147" s="293"/>
      <c r="AQ147" s="293"/>
      <c r="AR147" s="293"/>
      <c r="AS147" s="293"/>
      <c r="AT147" s="293"/>
      <c r="AU147" s="293"/>
      <c r="AV147" s="293"/>
      <c r="AW147" s="293"/>
      <c r="AX147" s="293"/>
      <c r="AY147" s="293"/>
      <c r="AZ147" s="293"/>
      <c r="BA147" s="293"/>
      <c r="BB147" s="293"/>
      <c r="BC147" s="293"/>
      <c r="BD147" s="293"/>
      <c r="BE147" s="293"/>
      <c r="BF147" s="293"/>
      <c r="BG147" s="293"/>
      <c r="BH147" s="293"/>
      <c r="BI147" s="293"/>
      <c r="BJ147" s="293"/>
      <c r="BK147" s="293"/>
      <c r="BL147" s="293"/>
      <c r="BM147" s="293"/>
      <c r="BN147" s="293"/>
      <c r="BO147" s="293"/>
      <c r="BP147" s="293"/>
      <c r="BQ147" s="293"/>
      <c r="BR147" s="293"/>
      <c r="BS147" s="293"/>
      <c r="BT147" s="293"/>
      <c r="BU147" s="293"/>
      <c r="BV147" s="293"/>
      <c r="BW147" s="293"/>
      <c r="BX147" s="293"/>
      <c r="BY147" s="293"/>
      <c r="BZ147" s="293"/>
      <c r="CA147" s="293"/>
      <c r="CB147" s="293"/>
      <c r="CC147" s="293"/>
      <c r="CD147" s="293"/>
      <c r="CE147" s="293"/>
      <c r="CF147" s="293"/>
      <c r="CG147" s="293"/>
      <c r="CH147" s="293"/>
      <c r="CI147" s="293"/>
      <c r="CJ147" s="293"/>
      <c r="CK147" s="293"/>
      <c r="CL147" s="293"/>
      <c r="CM147" s="293"/>
      <c r="CN147" s="293"/>
      <c r="CO147" s="293"/>
      <c r="CP147" s="293"/>
      <c r="CQ147" s="293"/>
      <c r="CR147" s="293"/>
      <c r="CS147" s="293"/>
      <c r="CT147" s="293"/>
      <c r="CU147" s="293"/>
      <c r="CV147" s="293"/>
      <c r="CW147" s="293"/>
      <c r="CX147" s="293"/>
      <c r="CY147" s="293"/>
    </row>
    <row r="148" spans="1:103" outlineLevel="1" x14ac:dyDescent="0.25">
      <c r="A148" s="352" t="s">
        <v>556</v>
      </c>
      <c r="B148" s="475" t="s">
        <v>41</v>
      </c>
      <c r="C148" s="431"/>
      <c r="D148" s="119">
        <f>+J148</f>
        <v>0</v>
      </c>
      <c r="E148" s="110"/>
      <c r="F148" s="119">
        <f>+L148</f>
        <v>0</v>
      </c>
      <c r="G148" s="294"/>
      <c r="H148" s="490"/>
      <c r="I148" s="290"/>
      <c r="J148" s="119"/>
      <c r="K148" s="290"/>
      <c r="L148" s="290">
        <f t="shared" si="52"/>
        <v>0</v>
      </c>
      <c r="M148" s="354"/>
      <c r="N148" s="353"/>
      <c r="O148" s="431"/>
      <c r="P148" s="119"/>
      <c r="Q148" s="119"/>
      <c r="R148" s="119"/>
      <c r="S148" s="119"/>
      <c r="T148" s="119"/>
      <c r="U148" s="119"/>
      <c r="V148" s="119"/>
      <c r="W148" s="356"/>
      <c r="X148" s="290"/>
      <c r="Y148" s="119"/>
      <c r="Z148" s="119"/>
      <c r="AA148" s="119"/>
      <c r="AB148" s="119"/>
      <c r="AC148" s="119"/>
      <c r="AD148" s="119"/>
      <c r="AE148" s="355"/>
      <c r="AF148" s="356"/>
    </row>
    <row r="149" spans="1:103" outlineLevel="1" x14ac:dyDescent="0.25">
      <c r="A149" s="352" t="s">
        <v>557</v>
      </c>
      <c r="B149" s="475" t="s">
        <v>42</v>
      </c>
      <c r="C149" s="431"/>
      <c r="D149" s="119">
        <f>+J149</f>
        <v>0</v>
      </c>
      <c r="E149" s="110"/>
      <c r="F149" s="119">
        <f>+L149</f>
        <v>0</v>
      </c>
      <c r="G149" s="294"/>
      <c r="H149" s="490"/>
      <c r="I149" s="290"/>
      <c r="J149" s="119"/>
      <c r="K149" s="290"/>
      <c r="L149" s="290">
        <f t="shared" si="52"/>
        <v>0</v>
      </c>
      <c r="M149" s="354"/>
      <c r="N149" s="353"/>
      <c r="O149" s="431"/>
      <c r="P149" s="119"/>
      <c r="Q149" s="119"/>
      <c r="R149" s="119"/>
      <c r="S149" s="119"/>
      <c r="T149" s="119"/>
      <c r="U149" s="119"/>
      <c r="V149" s="119"/>
      <c r="W149" s="356"/>
      <c r="X149" s="290"/>
      <c r="Y149" s="119"/>
      <c r="Z149" s="119"/>
      <c r="AA149" s="119"/>
      <c r="AB149" s="119"/>
      <c r="AC149" s="119"/>
      <c r="AD149" s="119"/>
      <c r="AE149" s="355"/>
      <c r="AF149" s="356"/>
    </row>
    <row r="150" spans="1:103" outlineLevel="1" x14ac:dyDescent="0.25">
      <c r="A150" s="352" t="s">
        <v>1047</v>
      </c>
      <c r="B150" s="475" t="s">
        <v>43</v>
      </c>
      <c r="C150" s="431"/>
      <c r="D150" s="119">
        <f>+J150</f>
        <v>0</v>
      </c>
      <c r="E150" s="110"/>
      <c r="F150" s="119">
        <f>+L150</f>
        <v>0</v>
      </c>
      <c r="G150" s="294"/>
      <c r="H150" s="490"/>
      <c r="I150" s="290"/>
      <c r="J150" s="119"/>
      <c r="K150" s="290"/>
      <c r="L150" s="290">
        <f t="shared" si="52"/>
        <v>0</v>
      </c>
      <c r="M150" s="354"/>
      <c r="N150" s="353"/>
      <c r="O150" s="431"/>
      <c r="P150" s="119"/>
      <c r="Q150" s="119"/>
      <c r="R150" s="119"/>
      <c r="S150" s="119"/>
      <c r="T150" s="119"/>
      <c r="U150" s="119"/>
      <c r="V150" s="119"/>
      <c r="W150" s="356"/>
      <c r="X150" s="290"/>
      <c r="Y150" s="119"/>
      <c r="Z150" s="119"/>
      <c r="AA150" s="119"/>
      <c r="AB150" s="119"/>
      <c r="AC150" s="119"/>
      <c r="AD150" s="119"/>
      <c r="AE150" s="355"/>
      <c r="AF150" s="356"/>
    </row>
    <row r="151" spans="1:103" s="351" customFormat="1" ht="15.75" x14ac:dyDescent="0.25">
      <c r="A151" s="345" t="s">
        <v>559</v>
      </c>
      <c r="B151" s="474" t="s">
        <v>111</v>
      </c>
      <c r="C151" s="430">
        <f>+C152+C153+C154</f>
        <v>508.38</v>
      </c>
      <c r="D151" s="455">
        <f>+D152+D153+D154</f>
        <v>500</v>
      </c>
      <c r="E151" s="274">
        <f>+E152+E153+E154</f>
        <v>226</v>
      </c>
      <c r="F151" s="455">
        <f>+F152+F153+F154</f>
        <v>500</v>
      </c>
      <c r="G151" s="292">
        <f t="shared" si="38"/>
        <v>1</v>
      </c>
      <c r="H151" s="489">
        <f>+F151/C151</f>
        <v>0.98351626735906217</v>
      </c>
      <c r="I151" s="349"/>
      <c r="J151" s="347">
        <f>+J152+J153+J154</f>
        <v>500</v>
      </c>
      <c r="K151" s="291"/>
      <c r="L151" s="291">
        <f t="shared" si="52"/>
        <v>500</v>
      </c>
      <c r="M151" s="348">
        <f>+J151/L151</f>
        <v>1</v>
      </c>
      <c r="N151" s="392"/>
      <c r="O151" s="430">
        <f>+O152+O153+O154</f>
        <v>0</v>
      </c>
      <c r="P151" s="455">
        <f t="shared" ref="P151:AF151" si="67">SUM(P152:P154)</f>
        <v>0</v>
      </c>
      <c r="Q151" s="455">
        <f t="shared" si="67"/>
        <v>0</v>
      </c>
      <c r="R151" s="455">
        <f t="shared" si="67"/>
        <v>0</v>
      </c>
      <c r="S151" s="455">
        <f t="shared" si="67"/>
        <v>0</v>
      </c>
      <c r="T151" s="455">
        <f t="shared" si="67"/>
        <v>0</v>
      </c>
      <c r="U151" s="455">
        <f t="shared" si="67"/>
        <v>0</v>
      </c>
      <c r="V151" s="455">
        <f t="shared" si="67"/>
        <v>0</v>
      </c>
      <c r="W151" s="350">
        <f t="shared" si="67"/>
        <v>500</v>
      </c>
      <c r="X151" s="349">
        <f t="shared" si="67"/>
        <v>0</v>
      </c>
      <c r="Y151" s="455">
        <f t="shared" si="67"/>
        <v>0</v>
      </c>
      <c r="Z151" s="455">
        <f t="shared" si="67"/>
        <v>0</v>
      </c>
      <c r="AA151" s="455">
        <f t="shared" si="67"/>
        <v>0</v>
      </c>
      <c r="AB151" s="455">
        <f t="shared" si="67"/>
        <v>0</v>
      </c>
      <c r="AC151" s="455">
        <f t="shared" si="67"/>
        <v>0</v>
      </c>
      <c r="AD151" s="455">
        <f t="shared" si="67"/>
        <v>0</v>
      </c>
      <c r="AE151" s="455">
        <f t="shared" si="67"/>
        <v>0</v>
      </c>
      <c r="AF151" s="350">
        <f t="shared" si="67"/>
        <v>500</v>
      </c>
      <c r="AG151" s="293"/>
      <c r="AH151" s="293"/>
      <c r="AI151" s="293"/>
      <c r="AJ151" s="293"/>
      <c r="AK151" s="293"/>
      <c r="AL151" s="293"/>
      <c r="AM151" s="293"/>
      <c r="AN151" s="293"/>
      <c r="AO151" s="293"/>
      <c r="AP151" s="293"/>
      <c r="AQ151" s="293"/>
      <c r="AR151" s="293"/>
      <c r="AS151" s="293"/>
      <c r="AT151" s="293"/>
      <c r="AU151" s="293"/>
      <c r="AV151" s="293"/>
      <c r="AW151" s="293"/>
      <c r="AX151" s="293"/>
      <c r="AY151" s="293"/>
      <c r="AZ151" s="293"/>
      <c r="BA151" s="293"/>
      <c r="BB151" s="293"/>
      <c r="BC151" s="293"/>
      <c r="BD151" s="293"/>
      <c r="BE151" s="293"/>
      <c r="BF151" s="293"/>
      <c r="BG151" s="293"/>
      <c r="BH151" s="293"/>
      <c r="BI151" s="293"/>
      <c r="BJ151" s="293"/>
      <c r="BK151" s="293"/>
      <c r="BL151" s="293"/>
      <c r="BM151" s="293"/>
      <c r="BN151" s="293"/>
      <c r="BO151" s="293"/>
      <c r="BP151" s="293"/>
      <c r="BQ151" s="293"/>
      <c r="BR151" s="293"/>
      <c r="BS151" s="293"/>
      <c r="BT151" s="293"/>
      <c r="BU151" s="293"/>
      <c r="BV151" s="293"/>
      <c r="BW151" s="293"/>
      <c r="BX151" s="293"/>
      <c r="BY151" s="293"/>
      <c r="BZ151" s="293"/>
      <c r="CA151" s="293"/>
      <c r="CB151" s="293"/>
      <c r="CC151" s="293"/>
      <c r="CD151" s="293"/>
      <c r="CE151" s="293"/>
      <c r="CF151" s="293"/>
      <c r="CG151" s="293"/>
      <c r="CH151" s="293"/>
      <c r="CI151" s="293"/>
      <c r="CJ151" s="293"/>
      <c r="CK151" s="293"/>
      <c r="CL151" s="293"/>
      <c r="CM151" s="293"/>
      <c r="CN151" s="293"/>
      <c r="CO151" s="293"/>
      <c r="CP151" s="293"/>
      <c r="CQ151" s="293"/>
      <c r="CR151" s="293"/>
      <c r="CS151" s="293"/>
      <c r="CT151" s="293"/>
      <c r="CU151" s="293"/>
      <c r="CV151" s="293"/>
      <c r="CW151" s="293"/>
      <c r="CX151" s="293"/>
      <c r="CY151" s="293"/>
    </row>
    <row r="152" spans="1:103" outlineLevel="1" x14ac:dyDescent="0.25">
      <c r="A152" s="352" t="s">
        <v>560</v>
      </c>
      <c r="B152" s="475" t="s">
        <v>112</v>
      </c>
      <c r="C152" s="431"/>
      <c r="D152" s="119">
        <f>+J152</f>
        <v>0</v>
      </c>
      <c r="E152" s="110"/>
      <c r="F152" s="119">
        <f>+L152</f>
        <v>0</v>
      </c>
      <c r="G152" s="294"/>
      <c r="H152" s="490"/>
      <c r="I152" s="290"/>
      <c r="J152" s="119">
        <f t="shared" si="61"/>
        <v>0</v>
      </c>
      <c r="K152" s="290"/>
      <c r="L152" s="290">
        <f t="shared" si="52"/>
        <v>0</v>
      </c>
      <c r="M152" s="354"/>
      <c r="N152" s="353"/>
      <c r="O152" s="431"/>
      <c r="P152" s="119"/>
      <c r="Q152" s="119"/>
      <c r="R152" s="119"/>
      <c r="S152" s="119"/>
      <c r="T152" s="119"/>
      <c r="U152" s="119"/>
      <c r="V152" s="119"/>
      <c r="W152" s="356"/>
      <c r="X152" s="290"/>
      <c r="Y152" s="119"/>
      <c r="Z152" s="119"/>
      <c r="AA152" s="119"/>
      <c r="AB152" s="119"/>
      <c r="AC152" s="119"/>
      <c r="AD152" s="119"/>
      <c r="AE152" s="355"/>
      <c r="AF152" s="356"/>
    </row>
    <row r="153" spans="1:103" outlineLevel="1" x14ac:dyDescent="0.25">
      <c r="A153" s="352" t="s">
        <v>561</v>
      </c>
      <c r="B153" s="475" t="s">
        <v>113</v>
      </c>
      <c r="C153" s="431">
        <v>508.38</v>
      </c>
      <c r="D153" s="119">
        <f>+J153</f>
        <v>500</v>
      </c>
      <c r="E153" s="110">
        <f>111+115</f>
        <v>226</v>
      </c>
      <c r="F153" s="119">
        <f>+L153</f>
        <v>500</v>
      </c>
      <c r="G153" s="294">
        <f t="shared" si="38"/>
        <v>1</v>
      </c>
      <c r="H153" s="490">
        <f>+F153/C153</f>
        <v>0.98351626735906217</v>
      </c>
      <c r="I153" s="290"/>
      <c r="J153" s="119">
        <f t="shared" si="61"/>
        <v>500</v>
      </c>
      <c r="K153" s="290"/>
      <c r="L153" s="290">
        <f t="shared" si="52"/>
        <v>500</v>
      </c>
      <c r="M153" s="354">
        <f>+J153/L153</f>
        <v>1</v>
      </c>
      <c r="N153" s="353"/>
      <c r="O153" s="431"/>
      <c r="P153" s="119"/>
      <c r="Q153" s="119"/>
      <c r="R153" s="119"/>
      <c r="S153" s="119"/>
      <c r="T153" s="119"/>
      <c r="U153" s="119"/>
      <c r="V153" s="119"/>
      <c r="W153" s="356">
        <v>500</v>
      </c>
      <c r="X153" s="290"/>
      <c r="Y153" s="119"/>
      <c r="Z153" s="119"/>
      <c r="AA153" s="119"/>
      <c r="AB153" s="119"/>
      <c r="AC153" s="119"/>
      <c r="AD153" s="119"/>
      <c r="AE153" s="355"/>
      <c r="AF153" s="356">
        <v>500</v>
      </c>
    </row>
    <row r="154" spans="1:103" outlineLevel="1" x14ac:dyDescent="0.25">
      <c r="A154" s="352" t="s">
        <v>583</v>
      </c>
      <c r="B154" s="475" t="s">
        <v>114</v>
      </c>
      <c r="C154" s="431"/>
      <c r="D154" s="119">
        <f>+J154</f>
        <v>0</v>
      </c>
      <c r="E154" s="110"/>
      <c r="F154" s="119">
        <f>+L154</f>
        <v>0</v>
      </c>
      <c r="G154" s="294"/>
      <c r="H154" s="490"/>
      <c r="I154" s="290"/>
      <c r="J154" s="119">
        <f t="shared" si="61"/>
        <v>0</v>
      </c>
      <c r="K154" s="290"/>
      <c r="L154" s="290">
        <f t="shared" si="52"/>
        <v>0</v>
      </c>
      <c r="M154" s="354"/>
      <c r="N154" s="353"/>
      <c r="O154" s="431"/>
      <c r="P154" s="119"/>
      <c r="Q154" s="119"/>
      <c r="R154" s="119"/>
      <c r="S154" s="119"/>
      <c r="T154" s="119"/>
      <c r="U154" s="119"/>
      <c r="V154" s="119"/>
      <c r="W154" s="356"/>
      <c r="X154" s="290"/>
      <c r="Y154" s="119"/>
      <c r="Z154" s="119"/>
      <c r="AA154" s="119"/>
      <c r="AB154" s="119"/>
      <c r="AC154" s="119"/>
      <c r="AD154" s="119"/>
      <c r="AE154" s="355"/>
      <c r="AF154" s="356"/>
    </row>
    <row r="155" spans="1:103" s="351" customFormat="1" ht="15.75" x14ac:dyDescent="0.25">
      <c r="A155" s="345" t="s">
        <v>568</v>
      </c>
      <c r="B155" s="474" t="s">
        <v>48</v>
      </c>
      <c r="C155" s="430">
        <f>+SUM(C156:C167)</f>
        <v>1122.76</v>
      </c>
      <c r="D155" s="455">
        <f>+SUM(D156:D167)</f>
        <v>2300</v>
      </c>
      <c r="E155" s="274">
        <f>+SUM(E156:E167)</f>
        <v>910.47000000000014</v>
      </c>
      <c r="F155" s="455">
        <f>+SUM(F156:F167)</f>
        <v>2200</v>
      </c>
      <c r="G155" s="292">
        <f t="shared" ref="G155:G220" si="68">+D155/F155</f>
        <v>1.0454545454545454</v>
      </c>
      <c r="H155" s="489">
        <f>+F155/C155</f>
        <v>1.9594570522640635</v>
      </c>
      <c r="I155" s="349"/>
      <c r="J155" s="347">
        <f>SUM(J156:J167)</f>
        <v>2300</v>
      </c>
      <c r="K155" s="291"/>
      <c r="L155" s="291">
        <f t="shared" si="52"/>
        <v>2200</v>
      </c>
      <c r="M155" s="348">
        <f t="shared" ref="M155:M178" si="69">+J155/L155</f>
        <v>1.0454545454545454</v>
      </c>
      <c r="N155" s="392"/>
      <c r="O155" s="430">
        <f>SUM(O156:O167)</f>
        <v>2300</v>
      </c>
      <c r="P155" s="455">
        <f t="shared" ref="P155:AF155" si="70">SUM(P156:P167)</f>
        <v>0</v>
      </c>
      <c r="Q155" s="455">
        <f t="shared" si="70"/>
        <v>0</v>
      </c>
      <c r="R155" s="455">
        <f t="shared" si="70"/>
        <v>0</v>
      </c>
      <c r="S155" s="455">
        <f t="shared" si="70"/>
        <v>0</v>
      </c>
      <c r="T155" s="455">
        <f t="shared" si="70"/>
        <v>0</v>
      </c>
      <c r="U155" s="455">
        <f t="shared" si="70"/>
        <v>0</v>
      </c>
      <c r="V155" s="455">
        <f t="shared" si="70"/>
        <v>0</v>
      </c>
      <c r="W155" s="350">
        <f t="shared" si="70"/>
        <v>0</v>
      </c>
      <c r="X155" s="349">
        <f t="shared" si="70"/>
        <v>2200</v>
      </c>
      <c r="Y155" s="455">
        <f t="shared" si="70"/>
        <v>0</v>
      </c>
      <c r="Z155" s="455">
        <f t="shared" si="70"/>
        <v>0</v>
      </c>
      <c r="AA155" s="455">
        <f t="shared" si="70"/>
        <v>0</v>
      </c>
      <c r="AB155" s="455">
        <f t="shared" si="70"/>
        <v>0</v>
      </c>
      <c r="AC155" s="455">
        <f t="shared" si="70"/>
        <v>0</v>
      </c>
      <c r="AD155" s="455">
        <f t="shared" si="70"/>
        <v>0</v>
      </c>
      <c r="AE155" s="455">
        <f t="shared" si="70"/>
        <v>0</v>
      </c>
      <c r="AF155" s="350">
        <f t="shared" si="70"/>
        <v>0</v>
      </c>
      <c r="AG155" s="293"/>
      <c r="AH155" s="293"/>
      <c r="AI155" s="293"/>
      <c r="AJ155" s="293"/>
      <c r="AK155" s="293"/>
      <c r="AL155" s="293"/>
      <c r="AM155" s="293"/>
      <c r="AN155" s="293"/>
      <c r="AO155" s="293"/>
      <c r="AP155" s="293"/>
      <c r="AQ155" s="293"/>
      <c r="AR155" s="293"/>
      <c r="AS155" s="293"/>
      <c r="AT155" s="293"/>
      <c r="AU155" s="293"/>
      <c r="AV155" s="293"/>
      <c r="AW155" s="293"/>
      <c r="AX155" s="293"/>
      <c r="AY155" s="293"/>
      <c r="AZ155" s="293"/>
      <c r="BA155" s="293"/>
      <c r="BB155" s="293"/>
      <c r="BC155" s="293"/>
      <c r="BD155" s="293"/>
      <c r="BE155" s="293"/>
      <c r="BF155" s="293"/>
      <c r="BG155" s="293"/>
      <c r="BH155" s="293"/>
      <c r="BI155" s="293"/>
      <c r="BJ155" s="293"/>
      <c r="BK155" s="293"/>
      <c r="BL155" s="293"/>
      <c r="BM155" s="293"/>
      <c r="BN155" s="293"/>
      <c r="BO155" s="293"/>
      <c r="BP155" s="293"/>
      <c r="BQ155" s="293"/>
      <c r="BR155" s="293"/>
      <c r="BS155" s="293"/>
      <c r="BT155" s="293"/>
      <c r="BU155" s="293"/>
      <c r="BV155" s="293"/>
      <c r="BW155" s="293"/>
      <c r="BX155" s="293"/>
      <c r="BY155" s="293"/>
      <c r="BZ155" s="293"/>
      <c r="CA155" s="293"/>
      <c r="CB155" s="293"/>
      <c r="CC155" s="293"/>
      <c r="CD155" s="293"/>
      <c r="CE155" s="293"/>
      <c r="CF155" s="293"/>
      <c r="CG155" s="293"/>
      <c r="CH155" s="293"/>
      <c r="CI155" s="293"/>
      <c r="CJ155" s="293"/>
      <c r="CK155" s="293"/>
      <c r="CL155" s="293"/>
      <c r="CM155" s="293"/>
      <c r="CN155" s="293"/>
      <c r="CO155" s="293"/>
      <c r="CP155" s="293"/>
      <c r="CQ155" s="293"/>
      <c r="CR155" s="293"/>
      <c r="CS155" s="293"/>
      <c r="CT155" s="293"/>
      <c r="CU155" s="293"/>
      <c r="CV155" s="293"/>
      <c r="CW155" s="293"/>
      <c r="CX155" s="293"/>
      <c r="CY155" s="293"/>
    </row>
    <row r="156" spans="1:103" outlineLevel="1" x14ac:dyDescent="0.25">
      <c r="A156" s="352" t="s">
        <v>569</v>
      </c>
      <c r="B156" s="475" t="s">
        <v>49</v>
      </c>
      <c r="C156" s="431">
        <v>183.68</v>
      </c>
      <c r="D156" s="119">
        <f>+J156</f>
        <v>300</v>
      </c>
      <c r="E156" s="110">
        <v>170.73</v>
      </c>
      <c r="F156" s="119">
        <f t="shared" ref="F156:F167" si="71">+L156</f>
        <v>200</v>
      </c>
      <c r="G156" s="294">
        <f t="shared" si="68"/>
        <v>1.5</v>
      </c>
      <c r="H156" s="490">
        <f>+F156/C156</f>
        <v>1.0888501742160279</v>
      </c>
      <c r="I156" s="290"/>
      <c r="J156" s="119">
        <f t="shared" si="61"/>
        <v>300</v>
      </c>
      <c r="K156" s="290"/>
      <c r="L156" s="290">
        <f t="shared" si="52"/>
        <v>200</v>
      </c>
      <c r="M156" s="354">
        <f t="shared" si="69"/>
        <v>1.5</v>
      </c>
      <c r="N156" s="353"/>
      <c r="O156" s="431">
        <v>300</v>
      </c>
      <c r="P156" s="119"/>
      <c r="Q156" s="119"/>
      <c r="R156" s="119"/>
      <c r="S156" s="119"/>
      <c r="T156" s="119"/>
      <c r="U156" s="119"/>
      <c r="V156" s="119"/>
      <c r="W156" s="356"/>
      <c r="X156" s="290">
        <v>200</v>
      </c>
      <c r="Y156" s="119"/>
      <c r="Z156" s="119"/>
      <c r="AA156" s="119"/>
      <c r="AB156" s="119"/>
      <c r="AC156" s="119"/>
      <c r="AD156" s="119"/>
      <c r="AE156" s="355"/>
      <c r="AF156" s="356"/>
    </row>
    <row r="157" spans="1:103" outlineLevel="1" x14ac:dyDescent="0.25">
      <c r="A157" s="352" t="s">
        <v>570</v>
      </c>
      <c r="B157" s="475" t="s">
        <v>55</v>
      </c>
      <c r="C157" s="431"/>
      <c r="D157" s="119">
        <f t="shared" ref="D157:D167" si="72">+J157</f>
        <v>100</v>
      </c>
      <c r="E157" s="110">
        <v>159.88999999999999</v>
      </c>
      <c r="F157" s="119">
        <f t="shared" si="71"/>
        <v>100</v>
      </c>
      <c r="G157" s="294">
        <f t="shared" si="68"/>
        <v>1</v>
      </c>
      <c r="H157" s="490"/>
      <c r="I157" s="290"/>
      <c r="J157" s="119">
        <f t="shared" si="61"/>
        <v>100</v>
      </c>
      <c r="K157" s="290"/>
      <c r="L157" s="290">
        <f t="shared" si="52"/>
        <v>100</v>
      </c>
      <c r="M157" s="354">
        <f t="shared" si="69"/>
        <v>1</v>
      </c>
      <c r="N157" s="353"/>
      <c r="O157" s="431">
        <f t="shared" ref="O157:O167" si="73">+X157</f>
        <v>100</v>
      </c>
      <c r="P157" s="119"/>
      <c r="Q157" s="119"/>
      <c r="R157" s="119"/>
      <c r="S157" s="119"/>
      <c r="T157" s="119"/>
      <c r="U157" s="119"/>
      <c r="V157" s="119"/>
      <c r="W157" s="356"/>
      <c r="X157" s="290">
        <v>100</v>
      </c>
      <c r="Y157" s="119"/>
      <c r="Z157" s="119"/>
      <c r="AA157" s="119"/>
      <c r="AB157" s="119"/>
      <c r="AC157" s="119"/>
      <c r="AD157" s="119"/>
      <c r="AE157" s="355"/>
      <c r="AF157" s="356"/>
    </row>
    <row r="158" spans="1:103" outlineLevel="1" x14ac:dyDescent="0.25">
      <c r="A158" s="352" t="s">
        <v>571</v>
      </c>
      <c r="B158" s="475" t="s">
        <v>581</v>
      </c>
      <c r="C158" s="431">
        <v>459.2</v>
      </c>
      <c r="D158" s="119">
        <f t="shared" si="72"/>
        <v>100</v>
      </c>
      <c r="E158" s="110">
        <v>159.88</v>
      </c>
      <c r="F158" s="119">
        <f t="shared" si="71"/>
        <v>100</v>
      </c>
      <c r="G158" s="294">
        <f t="shared" si="68"/>
        <v>1</v>
      </c>
      <c r="H158" s="490">
        <f>+F158/C158</f>
        <v>0.21777003484320559</v>
      </c>
      <c r="I158" s="290"/>
      <c r="J158" s="119">
        <f t="shared" si="61"/>
        <v>100</v>
      </c>
      <c r="K158" s="290"/>
      <c r="L158" s="290">
        <f t="shared" si="52"/>
        <v>100</v>
      </c>
      <c r="M158" s="354">
        <f t="shared" si="69"/>
        <v>1</v>
      </c>
      <c r="N158" s="353"/>
      <c r="O158" s="431">
        <f t="shared" si="73"/>
        <v>100</v>
      </c>
      <c r="P158" s="119"/>
      <c r="Q158" s="119"/>
      <c r="R158" s="119"/>
      <c r="S158" s="119"/>
      <c r="T158" s="119"/>
      <c r="U158" s="119"/>
      <c r="V158" s="119"/>
      <c r="W158" s="356"/>
      <c r="X158" s="290">
        <v>100</v>
      </c>
      <c r="Y158" s="119"/>
      <c r="Z158" s="119"/>
      <c r="AA158" s="119"/>
      <c r="AB158" s="119"/>
      <c r="AC158" s="119"/>
      <c r="AD158" s="119"/>
      <c r="AE158" s="355"/>
      <c r="AF158" s="356"/>
    </row>
    <row r="159" spans="1:103" outlineLevel="1" x14ac:dyDescent="0.25">
      <c r="A159" s="352" t="s">
        <v>572</v>
      </c>
      <c r="B159" s="475" t="s">
        <v>582</v>
      </c>
      <c r="C159" s="431">
        <v>367.36</v>
      </c>
      <c r="D159" s="119">
        <f t="shared" si="72"/>
        <v>100</v>
      </c>
      <c r="E159" s="110"/>
      <c r="F159" s="119">
        <f t="shared" si="71"/>
        <v>100</v>
      </c>
      <c r="G159" s="294">
        <f t="shared" si="68"/>
        <v>1</v>
      </c>
      <c r="H159" s="490">
        <f>+F159/C159</f>
        <v>0.27221254355400698</v>
      </c>
      <c r="I159" s="290"/>
      <c r="J159" s="119">
        <f t="shared" si="61"/>
        <v>100</v>
      </c>
      <c r="K159" s="290"/>
      <c r="L159" s="290">
        <f t="shared" si="52"/>
        <v>100</v>
      </c>
      <c r="M159" s="354">
        <f t="shared" si="69"/>
        <v>1</v>
      </c>
      <c r="N159" s="353"/>
      <c r="O159" s="431">
        <f t="shared" si="73"/>
        <v>100</v>
      </c>
      <c r="P159" s="119"/>
      <c r="Q159" s="119"/>
      <c r="R159" s="119"/>
      <c r="S159" s="119"/>
      <c r="T159" s="119"/>
      <c r="U159" s="119"/>
      <c r="V159" s="119"/>
      <c r="W159" s="356"/>
      <c r="X159" s="290">
        <v>100</v>
      </c>
      <c r="Y159" s="119"/>
      <c r="Z159" s="119"/>
      <c r="AA159" s="119"/>
      <c r="AB159" s="119"/>
      <c r="AC159" s="119"/>
      <c r="AD159" s="119"/>
      <c r="AE159" s="355"/>
      <c r="AF159" s="356"/>
    </row>
    <row r="160" spans="1:103" outlineLevel="1" x14ac:dyDescent="0.25">
      <c r="A160" s="352" t="s">
        <v>1048</v>
      </c>
      <c r="B160" s="475" t="s">
        <v>50</v>
      </c>
      <c r="C160" s="431"/>
      <c r="D160" s="119">
        <f t="shared" si="72"/>
        <v>100</v>
      </c>
      <c r="E160" s="110"/>
      <c r="F160" s="119">
        <f t="shared" si="71"/>
        <v>100</v>
      </c>
      <c r="G160" s="294">
        <f t="shared" si="68"/>
        <v>1</v>
      </c>
      <c r="H160" s="490"/>
      <c r="I160" s="290"/>
      <c r="J160" s="119">
        <f t="shared" si="61"/>
        <v>100</v>
      </c>
      <c r="K160" s="290"/>
      <c r="L160" s="290">
        <f t="shared" si="52"/>
        <v>100</v>
      </c>
      <c r="M160" s="354">
        <f t="shared" si="69"/>
        <v>1</v>
      </c>
      <c r="N160" s="353"/>
      <c r="O160" s="431">
        <f t="shared" si="73"/>
        <v>100</v>
      </c>
      <c r="P160" s="119"/>
      <c r="Q160" s="119"/>
      <c r="R160" s="119"/>
      <c r="S160" s="119"/>
      <c r="T160" s="119"/>
      <c r="U160" s="119"/>
      <c r="V160" s="119"/>
      <c r="W160" s="356"/>
      <c r="X160" s="290">
        <v>100</v>
      </c>
      <c r="Y160" s="119"/>
      <c r="Z160" s="119"/>
      <c r="AA160" s="119"/>
      <c r="AB160" s="119"/>
      <c r="AC160" s="119"/>
      <c r="AD160" s="119"/>
      <c r="AE160" s="355"/>
      <c r="AF160" s="356"/>
    </row>
    <row r="161" spans="1:103" outlineLevel="1" x14ac:dyDescent="0.25">
      <c r="A161" s="352" t="s">
        <v>1049</v>
      </c>
      <c r="B161" s="475" t="s">
        <v>51</v>
      </c>
      <c r="C161" s="431"/>
      <c r="D161" s="119">
        <f t="shared" si="72"/>
        <v>100</v>
      </c>
      <c r="E161" s="110">
        <v>178.44</v>
      </c>
      <c r="F161" s="119">
        <f t="shared" si="71"/>
        <v>100</v>
      </c>
      <c r="G161" s="294">
        <f t="shared" si="68"/>
        <v>1</v>
      </c>
      <c r="H161" s="490"/>
      <c r="I161" s="290"/>
      <c r="J161" s="119">
        <f t="shared" si="61"/>
        <v>100</v>
      </c>
      <c r="K161" s="290"/>
      <c r="L161" s="290">
        <f t="shared" si="52"/>
        <v>100</v>
      </c>
      <c r="M161" s="354">
        <f t="shared" si="69"/>
        <v>1</v>
      </c>
      <c r="N161" s="353"/>
      <c r="O161" s="431">
        <f t="shared" si="73"/>
        <v>100</v>
      </c>
      <c r="P161" s="119"/>
      <c r="Q161" s="119"/>
      <c r="R161" s="119"/>
      <c r="S161" s="119"/>
      <c r="T161" s="119"/>
      <c r="U161" s="119"/>
      <c r="V161" s="119"/>
      <c r="W161" s="356"/>
      <c r="X161" s="290">
        <v>100</v>
      </c>
      <c r="Y161" s="119"/>
      <c r="Z161" s="119"/>
      <c r="AA161" s="119"/>
      <c r="AB161" s="119"/>
      <c r="AC161" s="119"/>
      <c r="AD161" s="119"/>
      <c r="AE161" s="355"/>
      <c r="AF161" s="356"/>
    </row>
    <row r="162" spans="1:103" outlineLevel="1" x14ac:dyDescent="0.25">
      <c r="A162" s="352" t="s">
        <v>1050</v>
      </c>
      <c r="B162" s="475" t="s">
        <v>52</v>
      </c>
      <c r="C162" s="431"/>
      <c r="D162" s="119">
        <f t="shared" si="72"/>
        <v>100</v>
      </c>
      <c r="E162" s="110">
        <v>220.44</v>
      </c>
      <c r="F162" s="119">
        <f t="shared" si="71"/>
        <v>100</v>
      </c>
      <c r="G162" s="294">
        <f t="shared" si="68"/>
        <v>1</v>
      </c>
      <c r="H162" s="490"/>
      <c r="I162" s="290"/>
      <c r="J162" s="119">
        <f t="shared" si="61"/>
        <v>100</v>
      </c>
      <c r="K162" s="290"/>
      <c r="L162" s="290">
        <f t="shared" si="52"/>
        <v>100</v>
      </c>
      <c r="M162" s="354">
        <f t="shared" si="69"/>
        <v>1</v>
      </c>
      <c r="N162" s="353"/>
      <c r="O162" s="431">
        <f t="shared" si="73"/>
        <v>100</v>
      </c>
      <c r="P162" s="119"/>
      <c r="Q162" s="119"/>
      <c r="R162" s="119"/>
      <c r="S162" s="119"/>
      <c r="T162" s="119"/>
      <c r="U162" s="119"/>
      <c r="V162" s="119"/>
      <c r="W162" s="356"/>
      <c r="X162" s="290">
        <v>100</v>
      </c>
      <c r="Y162" s="119"/>
      <c r="Z162" s="119"/>
      <c r="AA162" s="119"/>
      <c r="AB162" s="119"/>
      <c r="AC162" s="119"/>
      <c r="AD162" s="119"/>
      <c r="AE162" s="355"/>
      <c r="AF162" s="356"/>
    </row>
    <row r="163" spans="1:103" outlineLevel="1" x14ac:dyDescent="0.25">
      <c r="A163" s="352" t="s">
        <v>1051</v>
      </c>
      <c r="B163" s="475" t="s">
        <v>53</v>
      </c>
      <c r="C163" s="431"/>
      <c r="D163" s="119">
        <f t="shared" si="72"/>
        <v>100</v>
      </c>
      <c r="E163" s="110"/>
      <c r="F163" s="119">
        <f t="shared" si="71"/>
        <v>100</v>
      </c>
      <c r="G163" s="294">
        <f t="shared" si="68"/>
        <v>1</v>
      </c>
      <c r="H163" s="490"/>
      <c r="I163" s="290"/>
      <c r="J163" s="119">
        <f t="shared" si="61"/>
        <v>100</v>
      </c>
      <c r="K163" s="290"/>
      <c r="L163" s="290">
        <f t="shared" si="52"/>
        <v>100</v>
      </c>
      <c r="M163" s="354">
        <f t="shared" si="69"/>
        <v>1</v>
      </c>
      <c r="N163" s="353"/>
      <c r="O163" s="431">
        <f t="shared" si="73"/>
        <v>100</v>
      </c>
      <c r="P163" s="119"/>
      <c r="Q163" s="119"/>
      <c r="R163" s="119"/>
      <c r="S163" s="119"/>
      <c r="T163" s="119"/>
      <c r="U163" s="119"/>
      <c r="V163" s="119"/>
      <c r="W163" s="356"/>
      <c r="X163" s="290">
        <v>100</v>
      </c>
      <c r="Y163" s="119"/>
      <c r="Z163" s="119"/>
      <c r="AA163" s="119"/>
      <c r="AB163" s="119"/>
      <c r="AC163" s="119"/>
      <c r="AD163" s="119"/>
      <c r="AE163" s="355"/>
      <c r="AF163" s="356"/>
    </row>
    <row r="164" spans="1:103" outlineLevel="1" x14ac:dyDescent="0.25">
      <c r="A164" s="352" t="s">
        <v>1052</v>
      </c>
      <c r="B164" s="475" t="s">
        <v>54</v>
      </c>
      <c r="C164" s="431"/>
      <c r="D164" s="119">
        <f t="shared" si="72"/>
        <v>100</v>
      </c>
      <c r="E164" s="110"/>
      <c r="F164" s="119">
        <f t="shared" si="71"/>
        <v>100</v>
      </c>
      <c r="G164" s="294">
        <f t="shared" si="68"/>
        <v>1</v>
      </c>
      <c r="H164" s="490"/>
      <c r="I164" s="290"/>
      <c r="J164" s="119">
        <f t="shared" si="61"/>
        <v>100</v>
      </c>
      <c r="K164" s="290"/>
      <c r="L164" s="290">
        <f t="shared" si="52"/>
        <v>100</v>
      </c>
      <c r="M164" s="354">
        <f t="shared" si="69"/>
        <v>1</v>
      </c>
      <c r="N164" s="353"/>
      <c r="O164" s="431">
        <f t="shared" si="73"/>
        <v>100</v>
      </c>
      <c r="P164" s="119"/>
      <c r="Q164" s="119"/>
      <c r="R164" s="119"/>
      <c r="S164" s="119"/>
      <c r="T164" s="119"/>
      <c r="U164" s="119"/>
      <c r="V164" s="119"/>
      <c r="W164" s="356"/>
      <c r="X164" s="290">
        <v>100</v>
      </c>
      <c r="Y164" s="119"/>
      <c r="Z164" s="119"/>
      <c r="AA164" s="119"/>
      <c r="AB164" s="119"/>
      <c r="AC164" s="119"/>
      <c r="AD164" s="119"/>
      <c r="AE164" s="355"/>
      <c r="AF164" s="356"/>
    </row>
    <row r="165" spans="1:103" outlineLevel="1" x14ac:dyDescent="0.25">
      <c r="A165" s="352" t="s">
        <v>1303</v>
      </c>
      <c r="B165" s="475" t="s">
        <v>1323</v>
      </c>
      <c r="C165" s="431"/>
      <c r="D165" s="525">
        <f t="shared" si="72"/>
        <v>100</v>
      </c>
      <c r="E165" s="110"/>
      <c r="F165" s="119">
        <f t="shared" si="71"/>
        <v>1000</v>
      </c>
      <c r="G165" s="294">
        <f t="shared" si="68"/>
        <v>0.1</v>
      </c>
      <c r="H165" s="490"/>
      <c r="I165" s="290"/>
      <c r="J165" s="119">
        <f t="shared" si="61"/>
        <v>100</v>
      </c>
      <c r="K165" s="290"/>
      <c r="L165" s="290">
        <f t="shared" si="52"/>
        <v>1000</v>
      </c>
      <c r="M165" s="354">
        <f t="shared" si="69"/>
        <v>0.1</v>
      </c>
      <c r="N165" s="353"/>
      <c r="O165" s="524">
        <v>100</v>
      </c>
      <c r="P165" s="119"/>
      <c r="Q165" s="119"/>
      <c r="R165" s="119"/>
      <c r="S165" s="119"/>
      <c r="T165" s="119"/>
      <c r="U165" s="119"/>
      <c r="V165" s="119"/>
      <c r="W165" s="356"/>
      <c r="X165" s="290">
        <v>1000</v>
      </c>
      <c r="Y165" s="119"/>
      <c r="Z165" s="119"/>
      <c r="AA165" s="119"/>
      <c r="AB165" s="119"/>
      <c r="AC165" s="119"/>
      <c r="AD165" s="119"/>
      <c r="AE165" s="355"/>
      <c r="AF165" s="356"/>
    </row>
    <row r="166" spans="1:103" outlineLevel="1" x14ac:dyDescent="0.25">
      <c r="A166" s="352" t="s">
        <v>1324</v>
      </c>
      <c r="B166" s="475" t="s">
        <v>1325</v>
      </c>
      <c r="C166" s="431"/>
      <c r="D166" s="525">
        <f t="shared" si="72"/>
        <v>1000</v>
      </c>
      <c r="E166" s="110">
        <v>21.09</v>
      </c>
      <c r="F166" s="119">
        <f t="shared" si="71"/>
        <v>100</v>
      </c>
      <c r="G166" s="294">
        <f t="shared" si="68"/>
        <v>10</v>
      </c>
      <c r="H166" s="490"/>
      <c r="I166" s="290"/>
      <c r="J166" s="119">
        <f t="shared" si="61"/>
        <v>1000</v>
      </c>
      <c r="K166" s="290"/>
      <c r="L166" s="290">
        <f t="shared" si="52"/>
        <v>100</v>
      </c>
      <c r="M166" s="354">
        <f t="shared" si="69"/>
        <v>10</v>
      </c>
      <c r="N166" s="353"/>
      <c r="O166" s="524">
        <v>1000</v>
      </c>
      <c r="P166" s="119"/>
      <c r="Q166" s="119"/>
      <c r="R166" s="119"/>
      <c r="S166" s="119"/>
      <c r="T166" s="119"/>
      <c r="U166" s="119"/>
      <c r="V166" s="119"/>
      <c r="W166" s="356"/>
      <c r="X166" s="290">
        <v>100</v>
      </c>
      <c r="Y166" s="119"/>
      <c r="Z166" s="119"/>
      <c r="AA166" s="119"/>
      <c r="AB166" s="119"/>
      <c r="AC166" s="119"/>
      <c r="AD166" s="119"/>
      <c r="AE166" s="355"/>
      <c r="AF166" s="356"/>
    </row>
    <row r="167" spans="1:103" outlineLevel="1" x14ac:dyDescent="0.25">
      <c r="A167" s="352" t="s">
        <v>1053</v>
      </c>
      <c r="B167" s="475" t="s">
        <v>86</v>
      </c>
      <c r="C167" s="431">
        <v>112.52</v>
      </c>
      <c r="D167" s="119">
        <f t="shared" si="72"/>
        <v>100</v>
      </c>
      <c r="E167" s="110"/>
      <c r="F167" s="119">
        <f t="shared" si="71"/>
        <v>100</v>
      </c>
      <c r="G167" s="294">
        <f t="shared" si="68"/>
        <v>1</v>
      </c>
      <c r="H167" s="490">
        <f>+F167/C167</f>
        <v>0.88873089228581592</v>
      </c>
      <c r="I167" s="290"/>
      <c r="J167" s="119">
        <f t="shared" si="61"/>
        <v>100</v>
      </c>
      <c r="K167" s="290"/>
      <c r="L167" s="290">
        <f t="shared" si="52"/>
        <v>100</v>
      </c>
      <c r="M167" s="354">
        <f t="shared" si="69"/>
        <v>1</v>
      </c>
      <c r="N167" s="353"/>
      <c r="O167" s="431">
        <f t="shared" si="73"/>
        <v>100</v>
      </c>
      <c r="P167" s="119"/>
      <c r="Q167" s="119"/>
      <c r="R167" s="119"/>
      <c r="S167" s="119"/>
      <c r="T167" s="119"/>
      <c r="U167" s="119"/>
      <c r="V167" s="119"/>
      <c r="W167" s="356"/>
      <c r="X167" s="290">
        <v>100</v>
      </c>
      <c r="Y167" s="119"/>
      <c r="Z167" s="119"/>
      <c r="AA167" s="119"/>
      <c r="AB167" s="119"/>
      <c r="AC167" s="119"/>
      <c r="AD167" s="119"/>
      <c r="AE167" s="355"/>
      <c r="AF167" s="356"/>
    </row>
    <row r="168" spans="1:103" s="351" customFormat="1" ht="15.75" x14ac:dyDescent="0.25">
      <c r="A168" s="345" t="s">
        <v>573</v>
      </c>
      <c r="B168" s="474" t="s">
        <v>56</v>
      </c>
      <c r="C168" s="430">
        <f>+C169+C170+C171+C172</f>
        <v>384.15000000000003</v>
      </c>
      <c r="D168" s="455">
        <f>+D169+D170+D171+D172</f>
        <v>1500</v>
      </c>
      <c r="E168" s="274">
        <f>+E169+E170+E171+E172</f>
        <v>75.48</v>
      </c>
      <c r="F168" s="455">
        <f>+F169+F170+F171+F172</f>
        <v>2000</v>
      </c>
      <c r="G168" s="292">
        <f t="shared" si="68"/>
        <v>0.75</v>
      </c>
      <c r="H168" s="489">
        <f>+F168/C168</f>
        <v>5.2062996225432769</v>
      </c>
      <c r="I168" s="349"/>
      <c r="J168" s="347">
        <f>SUM(J169:J172)</f>
        <v>1500</v>
      </c>
      <c r="K168" s="291"/>
      <c r="L168" s="291">
        <f t="shared" si="52"/>
        <v>2000</v>
      </c>
      <c r="M168" s="348">
        <f t="shared" si="69"/>
        <v>0.75</v>
      </c>
      <c r="N168" s="392"/>
      <c r="O168" s="430">
        <f>SUM(O169:O172)</f>
        <v>1500</v>
      </c>
      <c r="P168" s="455">
        <f t="shared" ref="P168:W168" si="74">SUM(P169:P172)</f>
        <v>0</v>
      </c>
      <c r="Q168" s="455">
        <f t="shared" si="74"/>
        <v>0</v>
      </c>
      <c r="R168" s="455">
        <f t="shared" si="74"/>
        <v>0</v>
      </c>
      <c r="S168" s="455">
        <f t="shared" si="74"/>
        <v>0</v>
      </c>
      <c r="T168" s="455">
        <f t="shared" si="74"/>
        <v>0</v>
      </c>
      <c r="U168" s="455">
        <f t="shared" si="74"/>
        <v>0</v>
      </c>
      <c r="V168" s="455">
        <f t="shared" si="74"/>
        <v>0</v>
      </c>
      <c r="W168" s="350">
        <f t="shared" si="74"/>
        <v>0</v>
      </c>
      <c r="X168" s="349">
        <f>SUM(X169:X172)</f>
        <v>2000</v>
      </c>
      <c r="Y168" s="455">
        <f t="shared" ref="Y168:AF168" si="75">SUM(Y169:Y172)</f>
        <v>0</v>
      </c>
      <c r="Z168" s="455">
        <f t="shared" si="75"/>
        <v>0</v>
      </c>
      <c r="AA168" s="455">
        <f t="shared" si="75"/>
        <v>0</v>
      </c>
      <c r="AB168" s="455">
        <f t="shared" si="75"/>
        <v>0</v>
      </c>
      <c r="AC168" s="455">
        <f t="shared" si="75"/>
        <v>0</v>
      </c>
      <c r="AD168" s="455">
        <f t="shared" si="75"/>
        <v>0</v>
      </c>
      <c r="AE168" s="455">
        <f t="shared" si="75"/>
        <v>0</v>
      </c>
      <c r="AF168" s="350">
        <f t="shared" si="75"/>
        <v>0</v>
      </c>
      <c r="AG168" s="293"/>
      <c r="AH168" s="293"/>
      <c r="AI168" s="293"/>
      <c r="AJ168" s="293"/>
      <c r="AK168" s="293"/>
      <c r="AL168" s="293"/>
      <c r="AM168" s="293"/>
      <c r="AN168" s="293"/>
      <c r="AO168" s="293"/>
      <c r="AP168" s="293"/>
      <c r="AQ168" s="293"/>
      <c r="AR168" s="293"/>
      <c r="AS168" s="293"/>
      <c r="AT168" s="293"/>
      <c r="AU168" s="293"/>
      <c r="AV168" s="293"/>
      <c r="AW168" s="293"/>
      <c r="AX168" s="293"/>
      <c r="AY168" s="293"/>
      <c r="AZ168" s="293"/>
      <c r="BA168" s="293"/>
      <c r="BB168" s="293"/>
      <c r="BC168" s="293"/>
      <c r="BD168" s="293"/>
      <c r="BE168" s="293"/>
      <c r="BF168" s="293"/>
      <c r="BG168" s="293"/>
      <c r="BH168" s="293"/>
      <c r="BI168" s="293"/>
      <c r="BJ168" s="293"/>
      <c r="BK168" s="293"/>
      <c r="BL168" s="293"/>
      <c r="BM168" s="293"/>
      <c r="BN168" s="293"/>
      <c r="BO168" s="293"/>
      <c r="BP168" s="293"/>
      <c r="BQ168" s="293"/>
      <c r="BR168" s="293"/>
      <c r="BS168" s="293"/>
      <c r="BT168" s="293"/>
      <c r="BU168" s="293"/>
      <c r="BV168" s="293"/>
      <c r="BW168" s="293"/>
      <c r="BX168" s="293"/>
      <c r="BY168" s="293"/>
      <c r="BZ168" s="293"/>
      <c r="CA168" s="293"/>
      <c r="CB168" s="293"/>
      <c r="CC168" s="293"/>
      <c r="CD168" s="293"/>
      <c r="CE168" s="293"/>
      <c r="CF168" s="293"/>
      <c r="CG168" s="293"/>
      <c r="CH168" s="293"/>
      <c r="CI168" s="293"/>
      <c r="CJ168" s="293"/>
      <c r="CK168" s="293"/>
      <c r="CL168" s="293"/>
      <c r="CM168" s="293"/>
      <c r="CN168" s="293"/>
      <c r="CO168" s="293"/>
      <c r="CP168" s="293"/>
      <c r="CQ168" s="293"/>
      <c r="CR168" s="293"/>
      <c r="CS168" s="293"/>
      <c r="CT168" s="293"/>
      <c r="CU168" s="293"/>
      <c r="CV168" s="293"/>
      <c r="CW168" s="293"/>
      <c r="CX168" s="293"/>
      <c r="CY168" s="293"/>
    </row>
    <row r="169" spans="1:103" outlineLevel="1" x14ac:dyDescent="0.25">
      <c r="A169" s="352" t="s">
        <v>574</v>
      </c>
      <c r="B169" s="475" t="s">
        <v>58</v>
      </c>
      <c r="C169" s="431">
        <f>171+171.96</f>
        <v>342.96000000000004</v>
      </c>
      <c r="D169" s="119">
        <f>+J169</f>
        <v>500</v>
      </c>
      <c r="E169" s="110">
        <v>75.48</v>
      </c>
      <c r="F169" s="119">
        <f>+L169</f>
        <v>1000</v>
      </c>
      <c r="G169" s="294">
        <f t="shared" si="68"/>
        <v>0.5</v>
      </c>
      <c r="H169" s="490">
        <f>+F169/C169</f>
        <v>2.9157919290879399</v>
      </c>
      <c r="I169" s="290"/>
      <c r="J169" s="119">
        <f t="shared" si="61"/>
        <v>500</v>
      </c>
      <c r="K169" s="290"/>
      <c r="L169" s="290">
        <f t="shared" si="52"/>
        <v>1000</v>
      </c>
      <c r="M169" s="354">
        <f t="shared" si="69"/>
        <v>0.5</v>
      </c>
      <c r="N169" s="353"/>
      <c r="O169" s="431">
        <v>500</v>
      </c>
      <c r="P169" s="119"/>
      <c r="Q169" s="119"/>
      <c r="R169" s="119"/>
      <c r="S169" s="119"/>
      <c r="T169" s="119"/>
      <c r="U169" s="119"/>
      <c r="V169" s="119"/>
      <c r="W169" s="356"/>
      <c r="X169" s="290">
        <v>1000</v>
      </c>
      <c r="Y169" s="119"/>
      <c r="Z169" s="119"/>
      <c r="AA169" s="119"/>
      <c r="AB169" s="119"/>
      <c r="AC169" s="119"/>
      <c r="AD169" s="119"/>
      <c r="AE169" s="355"/>
      <c r="AF169" s="356"/>
    </row>
    <row r="170" spans="1:103" outlineLevel="1" x14ac:dyDescent="0.25">
      <c r="A170" s="352" t="s">
        <v>575</v>
      </c>
      <c r="B170" s="475" t="s">
        <v>57</v>
      </c>
      <c r="C170" s="431"/>
      <c r="D170" s="119">
        <f>+J170</f>
        <v>500</v>
      </c>
      <c r="E170" s="110"/>
      <c r="F170" s="119">
        <f>+L170</f>
        <v>500</v>
      </c>
      <c r="G170" s="294">
        <f t="shared" si="68"/>
        <v>1</v>
      </c>
      <c r="H170" s="490"/>
      <c r="I170" s="290"/>
      <c r="J170" s="119">
        <f t="shared" si="61"/>
        <v>500</v>
      </c>
      <c r="K170" s="290"/>
      <c r="L170" s="290">
        <f t="shared" si="52"/>
        <v>500</v>
      </c>
      <c r="M170" s="354">
        <f t="shared" si="69"/>
        <v>1</v>
      </c>
      <c r="N170" s="353"/>
      <c r="O170" s="431">
        <f>+X170</f>
        <v>500</v>
      </c>
      <c r="P170" s="119"/>
      <c r="Q170" s="119"/>
      <c r="R170" s="119"/>
      <c r="S170" s="119"/>
      <c r="T170" s="119"/>
      <c r="U170" s="119"/>
      <c r="V170" s="119"/>
      <c r="W170" s="356"/>
      <c r="X170" s="290">
        <v>500</v>
      </c>
      <c r="Y170" s="119"/>
      <c r="Z170" s="119"/>
      <c r="AA170" s="119"/>
      <c r="AB170" s="119"/>
      <c r="AC170" s="119"/>
      <c r="AD170" s="119"/>
      <c r="AE170" s="355"/>
      <c r="AF170" s="356"/>
    </row>
    <row r="171" spans="1:103" outlineLevel="1" x14ac:dyDescent="0.25">
      <c r="A171" s="352" t="s">
        <v>576</v>
      </c>
      <c r="B171" s="475" t="s">
        <v>59</v>
      </c>
      <c r="C171" s="431"/>
      <c r="D171" s="119">
        <f>+J171</f>
        <v>200</v>
      </c>
      <c r="E171" s="110"/>
      <c r="F171" s="119">
        <f>+L171</f>
        <v>200</v>
      </c>
      <c r="G171" s="294">
        <f t="shared" si="68"/>
        <v>1</v>
      </c>
      <c r="H171" s="490"/>
      <c r="I171" s="290"/>
      <c r="J171" s="119">
        <f t="shared" si="61"/>
        <v>200</v>
      </c>
      <c r="K171" s="290"/>
      <c r="L171" s="290">
        <f t="shared" si="52"/>
        <v>200</v>
      </c>
      <c r="M171" s="354">
        <f t="shared" si="69"/>
        <v>1</v>
      </c>
      <c r="N171" s="353"/>
      <c r="O171" s="431">
        <f>+X171</f>
        <v>200</v>
      </c>
      <c r="P171" s="119"/>
      <c r="Q171" s="119"/>
      <c r="R171" s="119"/>
      <c r="S171" s="119"/>
      <c r="T171" s="119"/>
      <c r="U171" s="119"/>
      <c r="V171" s="119"/>
      <c r="W171" s="356"/>
      <c r="X171" s="290">
        <v>200</v>
      </c>
      <c r="Y171" s="119"/>
      <c r="Z171" s="119"/>
      <c r="AA171" s="119"/>
      <c r="AB171" s="119"/>
      <c r="AC171" s="119"/>
      <c r="AD171" s="119"/>
      <c r="AE171" s="355"/>
      <c r="AF171" s="356"/>
    </row>
    <row r="172" spans="1:103" outlineLevel="1" x14ac:dyDescent="0.25">
      <c r="A172" s="375" t="s">
        <v>1054</v>
      </c>
      <c r="B172" s="475" t="s">
        <v>85</v>
      </c>
      <c r="C172" s="431">
        <v>41.19</v>
      </c>
      <c r="D172" s="119">
        <f>+J172</f>
        <v>300</v>
      </c>
      <c r="E172" s="110"/>
      <c r="F172" s="119">
        <f>+L172</f>
        <v>300</v>
      </c>
      <c r="G172" s="294">
        <f t="shared" si="68"/>
        <v>1</v>
      </c>
      <c r="H172" s="490">
        <f>+F172/C172</f>
        <v>7.2833211944646763</v>
      </c>
      <c r="I172" s="290"/>
      <c r="J172" s="119">
        <f t="shared" si="61"/>
        <v>300</v>
      </c>
      <c r="K172" s="290"/>
      <c r="L172" s="290">
        <f t="shared" si="52"/>
        <v>300</v>
      </c>
      <c r="M172" s="354">
        <f t="shared" si="69"/>
        <v>1</v>
      </c>
      <c r="N172" s="353"/>
      <c r="O172" s="431">
        <f>+X172</f>
        <v>300</v>
      </c>
      <c r="P172" s="119"/>
      <c r="Q172" s="119"/>
      <c r="R172" s="119"/>
      <c r="S172" s="119"/>
      <c r="T172" s="119"/>
      <c r="U172" s="119"/>
      <c r="V172" s="119"/>
      <c r="W172" s="356"/>
      <c r="X172" s="290">
        <v>300</v>
      </c>
      <c r="Y172" s="376"/>
      <c r="Z172" s="376"/>
      <c r="AA172" s="376"/>
      <c r="AB172" s="376"/>
      <c r="AC172" s="376"/>
      <c r="AD172" s="376"/>
      <c r="AE172" s="377"/>
      <c r="AF172" s="378"/>
    </row>
    <row r="173" spans="1:103" s="351" customFormat="1" ht="15.75" x14ac:dyDescent="0.25">
      <c r="A173" s="345" t="s">
        <v>1055</v>
      </c>
      <c r="B173" s="474" t="s">
        <v>585</v>
      </c>
      <c r="C173" s="430">
        <f>+C174+C175+C176+C177</f>
        <v>3814.87</v>
      </c>
      <c r="D173" s="455">
        <f>+D174+D175+D176+D177</f>
        <v>1500</v>
      </c>
      <c r="E173" s="274">
        <f>+E174+E175+E176+E177</f>
        <v>390.51</v>
      </c>
      <c r="F173" s="455">
        <f>+F174+F175+F176+F177</f>
        <v>1457.5</v>
      </c>
      <c r="G173" s="292">
        <f t="shared" si="68"/>
        <v>1.0291595197255574</v>
      </c>
      <c r="H173" s="489">
        <f>+F173/C173</f>
        <v>0.38205757994374645</v>
      </c>
      <c r="I173" s="349"/>
      <c r="J173" s="347">
        <f>+J174+J175+J176+J177</f>
        <v>1500</v>
      </c>
      <c r="K173" s="291"/>
      <c r="L173" s="291">
        <f t="shared" si="52"/>
        <v>1457.5</v>
      </c>
      <c r="M173" s="348">
        <f t="shared" si="69"/>
        <v>1.0291595197255574</v>
      </c>
      <c r="N173" s="392"/>
      <c r="O173" s="430">
        <f>SUM(O174:O177)</f>
        <v>1500</v>
      </c>
      <c r="P173" s="455">
        <f t="shared" ref="P173:AF173" si="76">SUM(P174:P177)</f>
        <v>0</v>
      </c>
      <c r="Q173" s="455">
        <f t="shared" si="76"/>
        <v>0</v>
      </c>
      <c r="R173" s="455">
        <f t="shared" si="76"/>
        <v>0</v>
      </c>
      <c r="S173" s="455">
        <f t="shared" si="76"/>
        <v>0</v>
      </c>
      <c r="T173" s="455">
        <f t="shared" si="76"/>
        <v>0</v>
      </c>
      <c r="U173" s="455">
        <f t="shared" si="76"/>
        <v>0</v>
      </c>
      <c r="V173" s="455">
        <f t="shared" si="76"/>
        <v>0</v>
      </c>
      <c r="W173" s="350">
        <f t="shared" si="76"/>
        <v>0</v>
      </c>
      <c r="X173" s="349">
        <f t="shared" si="76"/>
        <v>1457.5</v>
      </c>
      <c r="Y173" s="349">
        <f t="shared" si="76"/>
        <v>0</v>
      </c>
      <c r="Z173" s="349">
        <f t="shared" si="76"/>
        <v>0</v>
      </c>
      <c r="AA173" s="349">
        <f t="shared" si="76"/>
        <v>0</v>
      </c>
      <c r="AB173" s="349">
        <f t="shared" si="76"/>
        <v>0</v>
      </c>
      <c r="AC173" s="349">
        <f t="shared" si="76"/>
        <v>0</v>
      </c>
      <c r="AD173" s="349">
        <f t="shared" si="76"/>
        <v>0</v>
      </c>
      <c r="AE173" s="349">
        <f t="shared" si="76"/>
        <v>0</v>
      </c>
      <c r="AF173" s="359">
        <f t="shared" si="76"/>
        <v>0</v>
      </c>
      <c r="AG173" s="293"/>
      <c r="AH173" s="293"/>
      <c r="AI173" s="293"/>
      <c r="AJ173" s="293"/>
      <c r="AK173" s="293"/>
      <c r="AL173" s="293"/>
      <c r="AM173" s="293"/>
      <c r="AN173" s="293"/>
      <c r="AO173" s="293"/>
      <c r="AP173" s="293"/>
      <c r="AQ173" s="293"/>
      <c r="AR173" s="293"/>
      <c r="AS173" s="293"/>
      <c r="AT173" s="293"/>
      <c r="AU173" s="293"/>
      <c r="AV173" s="293"/>
      <c r="AW173" s="293"/>
      <c r="AX173" s="293"/>
      <c r="AY173" s="293"/>
      <c r="AZ173" s="293"/>
      <c r="BA173" s="293"/>
      <c r="BB173" s="293"/>
      <c r="BC173" s="293"/>
      <c r="BD173" s="293"/>
      <c r="BE173" s="293"/>
      <c r="BF173" s="293"/>
      <c r="BG173" s="293"/>
      <c r="BH173" s="293"/>
      <c r="BI173" s="293"/>
      <c r="BJ173" s="293"/>
      <c r="BK173" s="293"/>
      <c r="BL173" s="293"/>
      <c r="BM173" s="293"/>
      <c r="BN173" s="293"/>
      <c r="BO173" s="293"/>
      <c r="BP173" s="293"/>
      <c r="BQ173" s="293"/>
      <c r="BR173" s="293"/>
      <c r="BS173" s="293"/>
      <c r="BT173" s="293"/>
      <c r="BU173" s="293"/>
      <c r="BV173" s="293"/>
      <c r="BW173" s="293"/>
      <c r="BX173" s="293"/>
      <c r="BY173" s="293"/>
      <c r="BZ173" s="293"/>
      <c r="CA173" s="293"/>
      <c r="CB173" s="293"/>
      <c r="CC173" s="293"/>
      <c r="CD173" s="293"/>
      <c r="CE173" s="293"/>
      <c r="CF173" s="293"/>
      <c r="CG173" s="293"/>
      <c r="CH173" s="293"/>
      <c r="CI173" s="293"/>
      <c r="CJ173" s="293"/>
      <c r="CK173" s="293"/>
      <c r="CL173" s="293"/>
      <c r="CM173" s="293"/>
      <c r="CN173" s="293"/>
      <c r="CO173" s="293"/>
      <c r="CP173" s="293"/>
      <c r="CQ173" s="293"/>
      <c r="CR173" s="293"/>
      <c r="CS173" s="293"/>
      <c r="CT173" s="293"/>
      <c r="CU173" s="293"/>
      <c r="CV173" s="293"/>
      <c r="CW173" s="293"/>
      <c r="CX173" s="293"/>
      <c r="CY173" s="293"/>
    </row>
    <row r="174" spans="1:103" outlineLevel="1" x14ac:dyDescent="0.25">
      <c r="A174" s="352" t="s">
        <v>1056</v>
      </c>
      <c r="B174" s="475" t="s">
        <v>87</v>
      </c>
      <c r="C174" s="431"/>
      <c r="D174" s="119">
        <f>+J174</f>
        <v>200</v>
      </c>
      <c r="E174" s="110">
        <v>157.5</v>
      </c>
      <c r="F174" s="119">
        <f>+L174</f>
        <v>157.5</v>
      </c>
      <c r="G174" s="294">
        <f t="shared" si="68"/>
        <v>1.2698412698412698</v>
      </c>
      <c r="H174" s="490"/>
      <c r="I174" s="290"/>
      <c r="J174" s="119">
        <f t="shared" si="61"/>
        <v>200</v>
      </c>
      <c r="K174" s="290"/>
      <c r="L174" s="290">
        <f t="shared" si="52"/>
        <v>157.5</v>
      </c>
      <c r="M174" s="354">
        <f t="shared" si="69"/>
        <v>1.2698412698412698</v>
      </c>
      <c r="N174" s="353"/>
      <c r="O174" s="431">
        <v>200</v>
      </c>
      <c r="P174" s="119"/>
      <c r="Q174" s="119"/>
      <c r="R174" s="119"/>
      <c r="S174" s="119"/>
      <c r="T174" s="119"/>
      <c r="U174" s="119"/>
      <c r="V174" s="119"/>
      <c r="W174" s="356"/>
      <c r="X174" s="290">
        <v>157.5</v>
      </c>
      <c r="Y174" s="119"/>
      <c r="Z174" s="119"/>
      <c r="AA174" s="119"/>
      <c r="AB174" s="119"/>
      <c r="AC174" s="119"/>
      <c r="AD174" s="119"/>
      <c r="AE174" s="355"/>
      <c r="AF174" s="356"/>
    </row>
    <row r="175" spans="1:103" outlineLevel="1" x14ac:dyDescent="0.25">
      <c r="A175" s="375" t="s">
        <v>1057</v>
      </c>
      <c r="B175" s="475" t="s">
        <v>83</v>
      </c>
      <c r="C175" s="431"/>
      <c r="D175" s="119">
        <f>+J175</f>
        <v>200</v>
      </c>
      <c r="E175" s="110"/>
      <c r="F175" s="119">
        <f>+L175</f>
        <v>200</v>
      </c>
      <c r="G175" s="294">
        <f t="shared" si="68"/>
        <v>1</v>
      </c>
      <c r="H175" s="490"/>
      <c r="I175" s="290"/>
      <c r="J175" s="119">
        <f t="shared" si="61"/>
        <v>200</v>
      </c>
      <c r="K175" s="290"/>
      <c r="L175" s="290">
        <f t="shared" ref="L175:L243" si="77">+X175+Y175+Z175+AA175+AB175+AC175+AD175+AE175+AF175</f>
        <v>200</v>
      </c>
      <c r="M175" s="354">
        <f t="shared" si="69"/>
        <v>1</v>
      </c>
      <c r="N175" s="353"/>
      <c r="O175" s="431">
        <f>+X175</f>
        <v>200</v>
      </c>
      <c r="P175" s="119"/>
      <c r="Q175" s="119"/>
      <c r="R175" s="119"/>
      <c r="S175" s="119"/>
      <c r="T175" s="119"/>
      <c r="U175" s="119"/>
      <c r="V175" s="119"/>
      <c r="W175" s="356"/>
      <c r="X175" s="290">
        <v>200</v>
      </c>
      <c r="Y175" s="376"/>
      <c r="Z175" s="376"/>
      <c r="AA175" s="376"/>
      <c r="AB175" s="376"/>
      <c r="AC175" s="376"/>
      <c r="AD175" s="376"/>
      <c r="AE175" s="377"/>
      <c r="AF175" s="378"/>
    </row>
    <row r="176" spans="1:103" outlineLevel="1" x14ac:dyDescent="0.25">
      <c r="A176" s="375" t="s">
        <v>1058</v>
      </c>
      <c r="B176" s="475" t="s">
        <v>1304</v>
      </c>
      <c r="C176" s="431">
        <v>3814.87</v>
      </c>
      <c r="D176" s="119">
        <f>+J176</f>
        <v>1000</v>
      </c>
      <c r="E176" s="110"/>
      <c r="F176" s="119">
        <f>+L176</f>
        <v>1000</v>
      </c>
      <c r="G176" s="294">
        <f t="shared" si="68"/>
        <v>1</v>
      </c>
      <c r="H176" s="490">
        <f>+F176/C176</f>
        <v>0.26213213032160992</v>
      </c>
      <c r="I176" s="290"/>
      <c r="J176" s="119">
        <f t="shared" si="61"/>
        <v>1000</v>
      </c>
      <c r="K176" s="290"/>
      <c r="L176" s="290">
        <f t="shared" si="77"/>
        <v>1000</v>
      </c>
      <c r="M176" s="354">
        <f t="shared" si="69"/>
        <v>1</v>
      </c>
      <c r="N176" s="353"/>
      <c r="O176" s="431">
        <f>+X176</f>
        <v>1000</v>
      </c>
      <c r="P176" s="119"/>
      <c r="Q176" s="119"/>
      <c r="R176" s="119"/>
      <c r="S176" s="119"/>
      <c r="T176" s="119"/>
      <c r="U176" s="119"/>
      <c r="V176" s="119"/>
      <c r="W176" s="356"/>
      <c r="X176" s="290">
        <v>1000</v>
      </c>
      <c r="Y176" s="376"/>
      <c r="Z176" s="376"/>
      <c r="AA176" s="376"/>
      <c r="AB176" s="376"/>
      <c r="AC176" s="376"/>
      <c r="AD176" s="376"/>
      <c r="AE176" s="377"/>
      <c r="AF176" s="378"/>
    </row>
    <row r="177" spans="1:103" outlineLevel="1" x14ac:dyDescent="0.25">
      <c r="A177" s="375" t="s">
        <v>1059</v>
      </c>
      <c r="B177" s="475" t="s">
        <v>84</v>
      </c>
      <c r="C177" s="431"/>
      <c r="D177" s="119">
        <f>+J177</f>
        <v>100</v>
      </c>
      <c r="E177" s="110">
        <v>233.01</v>
      </c>
      <c r="F177" s="119">
        <f>+L177</f>
        <v>100</v>
      </c>
      <c r="G177" s="294">
        <f t="shared" si="68"/>
        <v>1</v>
      </c>
      <c r="H177" s="490"/>
      <c r="I177" s="290"/>
      <c r="J177" s="119">
        <f t="shared" si="61"/>
        <v>100</v>
      </c>
      <c r="K177" s="290"/>
      <c r="L177" s="290">
        <f t="shared" si="77"/>
        <v>100</v>
      </c>
      <c r="M177" s="354">
        <f t="shared" si="69"/>
        <v>1</v>
      </c>
      <c r="N177" s="353"/>
      <c r="O177" s="431">
        <f>+X177</f>
        <v>100</v>
      </c>
      <c r="P177" s="118"/>
      <c r="Q177" s="118"/>
      <c r="R177" s="118"/>
      <c r="S177" s="118"/>
      <c r="T177" s="118"/>
      <c r="U177" s="118"/>
      <c r="V177" s="118"/>
      <c r="W177" s="517"/>
      <c r="X177" s="290">
        <v>100</v>
      </c>
      <c r="Y177" s="379"/>
      <c r="Z177" s="379"/>
      <c r="AA177" s="379"/>
      <c r="AB177" s="379"/>
      <c r="AC177" s="379"/>
      <c r="AD177" s="379"/>
      <c r="AE177" s="380"/>
      <c r="AF177" s="381"/>
    </row>
    <row r="178" spans="1:103" s="344" customFormat="1" ht="21" x14ac:dyDescent="0.35">
      <c r="A178" s="513" t="s">
        <v>134</v>
      </c>
      <c r="B178" s="473" t="s">
        <v>1185</v>
      </c>
      <c r="C178" s="429">
        <f>+C180+C183+C188+C193</f>
        <v>142948.25999999998</v>
      </c>
      <c r="D178" s="339">
        <f>+D180+D183+D188+D193</f>
        <v>150728</v>
      </c>
      <c r="E178" s="501">
        <f>+E180+E183+E188+E193</f>
        <v>129482.64000000001</v>
      </c>
      <c r="F178" s="339">
        <f>+F180+F183+F188+F193</f>
        <v>148722</v>
      </c>
      <c r="G178" s="340">
        <f t="shared" si="68"/>
        <v>1.0134882532510321</v>
      </c>
      <c r="H178" s="488">
        <f>+F178/C178</f>
        <v>1.0403904181834744</v>
      </c>
      <c r="I178" s="288">
        <v>172563</v>
      </c>
      <c r="J178" s="339">
        <f t="shared" si="61"/>
        <v>151976.6</v>
      </c>
      <c r="K178" s="288">
        <v>156610.03</v>
      </c>
      <c r="L178" s="288">
        <f t="shared" si="77"/>
        <v>156537</v>
      </c>
      <c r="M178" s="342">
        <f t="shared" si="69"/>
        <v>0.97086695158333181</v>
      </c>
      <c r="N178" s="341">
        <f>+L178/I178</f>
        <v>0.90712957007006134</v>
      </c>
      <c r="O178" s="429">
        <f t="shared" ref="O178:W178" si="78">O180+O183+O188+O193</f>
        <v>5000</v>
      </c>
      <c r="P178" s="339">
        <f t="shared" si="78"/>
        <v>127575</v>
      </c>
      <c r="Q178" s="339">
        <f t="shared" si="78"/>
        <v>3901.6000000000004</v>
      </c>
      <c r="R178" s="339">
        <f t="shared" si="78"/>
        <v>0</v>
      </c>
      <c r="S178" s="339">
        <f t="shared" si="78"/>
        <v>0</v>
      </c>
      <c r="T178" s="339">
        <f t="shared" si="78"/>
        <v>15500</v>
      </c>
      <c r="U178" s="339">
        <f t="shared" si="78"/>
        <v>0</v>
      </c>
      <c r="V178" s="339">
        <f t="shared" si="78"/>
        <v>0</v>
      </c>
      <c r="W178" s="461">
        <f t="shared" si="78"/>
        <v>0</v>
      </c>
      <c r="X178" s="288">
        <f>X180+X183+X188+X193</f>
        <v>8500</v>
      </c>
      <c r="Y178" s="288">
        <f>Y180+Y183+Y188+Y193</f>
        <v>127660</v>
      </c>
      <c r="Z178" s="288">
        <f>Z180+Z183+Z188+Z193</f>
        <v>4877</v>
      </c>
      <c r="AA178" s="288"/>
      <c r="AB178" s="288"/>
      <c r="AC178" s="288">
        <f>+AC180+AC183+AC188+AC193</f>
        <v>15500</v>
      </c>
      <c r="AD178" s="288">
        <f>+AD180+AD183+AD188+AD193</f>
        <v>0</v>
      </c>
      <c r="AE178" s="288">
        <f>+AE180+AE183+AE188+AE193</f>
        <v>0</v>
      </c>
      <c r="AF178" s="289">
        <f>+AF180+AF183+AF188+AF193</f>
        <v>0</v>
      </c>
      <c r="AG178" s="343"/>
      <c r="AH178" s="343"/>
      <c r="AI178" s="343"/>
      <c r="AJ178" s="343"/>
      <c r="AK178" s="343"/>
      <c r="AL178" s="343"/>
      <c r="AM178" s="343"/>
      <c r="AN178" s="343"/>
      <c r="AO178" s="343"/>
      <c r="AP178" s="343"/>
      <c r="AQ178" s="343"/>
      <c r="AR178" s="343"/>
      <c r="AS178" s="343"/>
      <c r="AT178" s="343"/>
      <c r="AU178" s="343"/>
      <c r="AV178" s="343"/>
      <c r="AW178" s="343"/>
      <c r="AX178" s="343"/>
      <c r="AY178" s="343"/>
      <c r="AZ178" s="343"/>
      <c r="BA178" s="343"/>
      <c r="BB178" s="343"/>
      <c r="BC178" s="343"/>
      <c r="BD178" s="343"/>
      <c r="BE178" s="343"/>
      <c r="BF178" s="343"/>
      <c r="BG178" s="343"/>
      <c r="BH178" s="343"/>
      <c r="BI178" s="343"/>
      <c r="BJ178" s="343"/>
      <c r="BK178" s="343"/>
      <c r="BL178" s="343"/>
      <c r="BM178" s="343"/>
      <c r="BN178" s="343"/>
      <c r="BO178" s="343"/>
      <c r="BP178" s="343"/>
      <c r="BQ178" s="343"/>
      <c r="BR178" s="343"/>
      <c r="BS178" s="343"/>
      <c r="BT178" s="343"/>
      <c r="BU178" s="343"/>
      <c r="BV178" s="343"/>
      <c r="BW178" s="343"/>
      <c r="BX178" s="343"/>
      <c r="BY178" s="343"/>
      <c r="BZ178" s="343"/>
      <c r="CA178" s="343"/>
      <c r="CB178" s="343"/>
      <c r="CC178" s="343"/>
      <c r="CD178" s="343"/>
      <c r="CE178" s="343"/>
      <c r="CF178" s="343"/>
      <c r="CG178" s="343"/>
      <c r="CH178" s="343"/>
      <c r="CI178" s="343"/>
      <c r="CJ178" s="343"/>
      <c r="CK178" s="343"/>
      <c r="CL178" s="343"/>
      <c r="CM178" s="343"/>
      <c r="CN178" s="343"/>
      <c r="CO178" s="343"/>
      <c r="CP178" s="343"/>
      <c r="CQ178" s="343"/>
      <c r="CR178" s="343"/>
      <c r="CS178" s="343"/>
      <c r="CT178" s="343"/>
      <c r="CU178" s="343"/>
      <c r="CV178" s="343"/>
      <c r="CW178" s="343"/>
      <c r="CX178" s="343"/>
      <c r="CY178" s="343"/>
    </row>
    <row r="179" spans="1:103" s="390" customFormat="1" ht="21" customHeight="1" x14ac:dyDescent="0.25">
      <c r="A179" s="382"/>
      <c r="B179" s="479" t="s">
        <v>1343</v>
      </c>
      <c r="C179" s="433"/>
      <c r="D179" s="383"/>
      <c r="E179" s="502">
        <v>844.5</v>
      </c>
      <c r="F179" s="383"/>
      <c r="G179" s="384"/>
      <c r="H179" s="492"/>
      <c r="I179" s="386">
        <v>29614</v>
      </c>
      <c r="J179" s="383">
        <v>-844</v>
      </c>
      <c r="K179" s="386"/>
      <c r="L179" s="386">
        <f>+J179</f>
        <v>-844</v>
      </c>
      <c r="M179" s="387"/>
      <c r="N179" s="385"/>
      <c r="O179" s="433">
        <f>+X179*1.01</f>
        <v>0</v>
      </c>
      <c r="P179" s="383"/>
      <c r="Q179" s="383"/>
      <c r="R179" s="383"/>
      <c r="S179" s="383"/>
      <c r="T179" s="383"/>
      <c r="U179" s="383"/>
      <c r="V179" s="383"/>
      <c r="W179" s="520"/>
      <c r="X179" s="386"/>
      <c r="Y179" s="386"/>
      <c r="Z179" s="386"/>
      <c r="AA179" s="386"/>
      <c r="AB179" s="386"/>
      <c r="AC179" s="386"/>
      <c r="AD179" s="386"/>
      <c r="AE179" s="386"/>
      <c r="AF179" s="388"/>
      <c r="AG179" s="389"/>
      <c r="AH179" s="389"/>
      <c r="AI179" s="389"/>
      <c r="AJ179" s="389"/>
      <c r="AK179" s="389"/>
      <c r="AL179" s="389"/>
      <c r="AM179" s="389"/>
      <c r="AN179" s="389"/>
      <c r="AO179" s="389"/>
      <c r="AP179" s="389"/>
      <c r="AQ179" s="389"/>
      <c r="AR179" s="389"/>
      <c r="AS179" s="389"/>
      <c r="AT179" s="389"/>
      <c r="AU179" s="389"/>
      <c r="AV179" s="389"/>
      <c r="AW179" s="389"/>
      <c r="AX179" s="389"/>
      <c r="AY179" s="389"/>
      <c r="AZ179" s="389"/>
      <c r="BA179" s="389"/>
      <c r="BB179" s="389"/>
      <c r="BC179" s="389"/>
      <c r="BD179" s="389"/>
      <c r="BE179" s="389"/>
      <c r="BF179" s="389"/>
      <c r="BG179" s="389"/>
      <c r="BH179" s="389"/>
      <c r="BI179" s="389"/>
      <c r="BJ179" s="389"/>
      <c r="BK179" s="389"/>
      <c r="BL179" s="389"/>
      <c r="BM179" s="389"/>
      <c r="BN179" s="389"/>
      <c r="BO179" s="389"/>
      <c r="BP179" s="389"/>
      <c r="BQ179" s="389"/>
      <c r="BR179" s="389"/>
      <c r="BS179" s="389"/>
      <c r="BT179" s="389"/>
      <c r="BU179" s="389"/>
      <c r="BV179" s="389"/>
      <c r="BW179" s="389"/>
      <c r="BX179" s="389"/>
      <c r="BY179" s="389"/>
      <c r="BZ179" s="389"/>
      <c r="CA179" s="389"/>
      <c r="CB179" s="389"/>
      <c r="CC179" s="389"/>
      <c r="CD179" s="389"/>
      <c r="CE179" s="389"/>
      <c r="CF179" s="389"/>
      <c r="CG179" s="389"/>
      <c r="CH179" s="389"/>
      <c r="CI179" s="389"/>
      <c r="CJ179" s="389"/>
      <c r="CK179" s="389"/>
      <c r="CL179" s="389"/>
      <c r="CM179" s="389"/>
      <c r="CN179" s="389"/>
      <c r="CO179" s="389"/>
      <c r="CP179" s="389"/>
      <c r="CQ179" s="389"/>
      <c r="CR179" s="389"/>
      <c r="CS179" s="389"/>
      <c r="CT179" s="389"/>
      <c r="CU179" s="389"/>
      <c r="CV179" s="389"/>
      <c r="CW179" s="389"/>
      <c r="CX179" s="389"/>
      <c r="CY179" s="389"/>
    </row>
    <row r="180" spans="1:103" s="351" customFormat="1" ht="15.75" x14ac:dyDescent="0.25">
      <c r="A180" s="345" t="s">
        <v>135</v>
      </c>
      <c r="B180" s="474" t="s">
        <v>905</v>
      </c>
      <c r="C180" s="430">
        <f>+C181+C182</f>
        <v>1371.23</v>
      </c>
      <c r="D180" s="455">
        <f>+D181+D182</f>
        <v>1000</v>
      </c>
      <c r="E180" s="274">
        <f>+E181+E182</f>
        <v>1196.0999999999999</v>
      </c>
      <c r="F180" s="455">
        <f>+F181+F182</f>
        <v>1500</v>
      </c>
      <c r="G180" s="292">
        <f t="shared" si="68"/>
        <v>0.66666666666666663</v>
      </c>
      <c r="H180" s="489">
        <f t="shared" ref="H180:H197" si="79">+F180/C180</f>
        <v>1.0939083888187977</v>
      </c>
      <c r="I180" s="349"/>
      <c r="J180" s="347">
        <f>+J181+J182</f>
        <v>1000</v>
      </c>
      <c r="K180" s="291"/>
      <c r="L180" s="291">
        <f t="shared" si="77"/>
        <v>1500</v>
      </c>
      <c r="M180" s="348">
        <f>+J180/L180</f>
        <v>0.66666666666666663</v>
      </c>
      <c r="N180" s="392"/>
      <c r="O180" s="430">
        <f t="shared" ref="O180:AF180" si="80">SUM(O181:O182)</f>
        <v>0</v>
      </c>
      <c r="P180" s="455">
        <f t="shared" si="80"/>
        <v>1000</v>
      </c>
      <c r="Q180" s="455">
        <f t="shared" si="80"/>
        <v>0</v>
      </c>
      <c r="R180" s="455">
        <f t="shared" si="80"/>
        <v>0</v>
      </c>
      <c r="S180" s="455">
        <f t="shared" si="80"/>
        <v>0</v>
      </c>
      <c r="T180" s="455">
        <f t="shared" si="80"/>
        <v>0</v>
      </c>
      <c r="U180" s="455">
        <f t="shared" si="80"/>
        <v>0</v>
      </c>
      <c r="V180" s="455">
        <f t="shared" si="80"/>
        <v>0</v>
      </c>
      <c r="W180" s="350">
        <f t="shared" si="80"/>
        <v>0</v>
      </c>
      <c r="X180" s="349">
        <f t="shared" si="80"/>
        <v>0</v>
      </c>
      <c r="Y180" s="455">
        <f t="shared" si="80"/>
        <v>1500</v>
      </c>
      <c r="Z180" s="455">
        <f t="shared" si="80"/>
        <v>0</v>
      </c>
      <c r="AA180" s="455">
        <f t="shared" si="80"/>
        <v>0</v>
      </c>
      <c r="AB180" s="455">
        <f t="shared" si="80"/>
        <v>0</v>
      </c>
      <c r="AC180" s="455">
        <f t="shared" si="80"/>
        <v>0</v>
      </c>
      <c r="AD180" s="455">
        <f t="shared" si="80"/>
        <v>0</v>
      </c>
      <c r="AE180" s="455">
        <f t="shared" si="80"/>
        <v>0</v>
      </c>
      <c r="AF180" s="350">
        <f t="shared" si="80"/>
        <v>0</v>
      </c>
      <c r="AG180" s="293"/>
      <c r="AH180" s="293"/>
      <c r="AI180" s="293"/>
      <c r="AJ180" s="293"/>
      <c r="AK180" s="293"/>
      <c r="AL180" s="293"/>
      <c r="AM180" s="293"/>
      <c r="AN180" s="293"/>
      <c r="AO180" s="293"/>
      <c r="AP180" s="293"/>
      <c r="AQ180" s="293"/>
      <c r="AR180" s="293"/>
      <c r="AS180" s="293"/>
      <c r="AT180" s="293"/>
      <c r="AU180" s="293"/>
      <c r="AV180" s="293"/>
      <c r="AW180" s="293"/>
      <c r="AX180" s="293"/>
      <c r="AY180" s="293"/>
      <c r="AZ180" s="293"/>
      <c r="BA180" s="293"/>
      <c r="BB180" s="293"/>
      <c r="BC180" s="293"/>
      <c r="BD180" s="293"/>
      <c r="BE180" s="293"/>
      <c r="BF180" s="293"/>
      <c r="BG180" s="293"/>
      <c r="BH180" s="293"/>
      <c r="BI180" s="293"/>
      <c r="BJ180" s="293"/>
      <c r="BK180" s="293"/>
      <c r="BL180" s="293"/>
      <c r="BM180" s="293"/>
      <c r="BN180" s="293"/>
      <c r="BO180" s="293"/>
      <c r="BP180" s="293"/>
      <c r="BQ180" s="293"/>
      <c r="BR180" s="293"/>
      <c r="BS180" s="293"/>
      <c r="BT180" s="293"/>
      <c r="BU180" s="293"/>
      <c r="BV180" s="293"/>
      <c r="BW180" s="293"/>
      <c r="BX180" s="293"/>
      <c r="BY180" s="293"/>
      <c r="BZ180" s="293"/>
      <c r="CA180" s="293"/>
      <c r="CB180" s="293"/>
      <c r="CC180" s="293"/>
      <c r="CD180" s="293"/>
      <c r="CE180" s="293"/>
      <c r="CF180" s="293"/>
      <c r="CG180" s="293"/>
      <c r="CH180" s="293"/>
      <c r="CI180" s="293"/>
      <c r="CJ180" s="293"/>
      <c r="CK180" s="293"/>
      <c r="CL180" s="293"/>
      <c r="CM180" s="293"/>
      <c r="CN180" s="293"/>
      <c r="CO180" s="293"/>
      <c r="CP180" s="293"/>
      <c r="CQ180" s="293"/>
      <c r="CR180" s="293"/>
      <c r="CS180" s="293"/>
      <c r="CT180" s="293"/>
      <c r="CU180" s="293"/>
      <c r="CV180" s="293"/>
      <c r="CW180" s="293"/>
      <c r="CX180" s="293"/>
      <c r="CY180" s="293"/>
    </row>
    <row r="181" spans="1:103" outlineLevel="1" x14ac:dyDescent="0.25">
      <c r="A181" s="358" t="s">
        <v>138</v>
      </c>
      <c r="B181" s="475" t="s">
        <v>905</v>
      </c>
      <c r="C181" s="431">
        <v>1284.49</v>
      </c>
      <c r="D181" s="119">
        <v>1000</v>
      </c>
      <c r="E181" s="110">
        <v>571.63</v>
      </c>
      <c r="F181" s="119">
        <f>+L181</f>
        <v>1500</v>
      </c>
      <c r="G181" s="294">
        <f t="shared" si="68"/>
        <v>0.66666666666666663</v>
      </c>
      <c r="H181" s="490">
        <f t="shared" si="79"/>
        <v>1.1677786514492132</v>
      </c>
      <c r="I181" s="290"/>
      <c r="J181" s="119">
        <f t="shared" ref="J181:J235" si="81">+O181+P181+Q181+R181+S181+T181+U181+V181+W181</f>
        <v>1000</v>
      </c>
      <c r="K181" s="290"/>
      <c r="L181" s="290">
        <f t="shared" si="77"/>
        <v>1500</v>
      </c>
      <c r="M181" s="354">
        <f>+J181/L181</f>
        <v>0.66666666666666663</v>
      </c>
      <c r="N181" s="353"/>
      <c r="O181" s="431"/>
      <c r="P181" s="119">
        <v>1000</v>
      </c>
      <c r="Q181" s="119"/>
      <c r="R181" s="119"/>
      <c r="S181" s="119"/>
      <c r="T181" s="119"/>
      <c r="U181" s="119"/>
      <c r="V181" s="119"/>
      <c r="W181" s="356"/>
      <c r="X181" s="290"/>
      <c r="Y181" s="119">
        <f>1500</f>
        <v>1500</v>
      </c>
      <c r="Z181" s="119"/>
      <c r="AA181" s="119"/>
      <c r="AB181" s="119"/>
      <c r="AC181" s="119"/>
      <c r="AD181" s="119"/>
      <c r="AE181" s="355"/>
      <c r="AF181" s="356"/>
    </row>
    <row r="182" spans="1:103" outlineLevel="1" x14ac:dyDescent="0.25">
      <c r="A182" s="352" t="s">
        <v>139</v>
      </c>
      <c r="B182" s="475" t="s">
        <v>903</v>
      </c>
      <c r="C182" s="431">
        <f>59.02+27.72</f>
        <v>86.740000000000009</v>
      </c>
      <c r="D182" s="119">
        <f>+J182</f>
        <v>0</v>
      </c>
      <c r="E182" s="110">
        <f>534.17+90.3</f>
        <v>624.46999999999991</v>
      </c>
      <c r="F182" s="119">
        <f>+L182</f>
        <v>0</v>
      </c>
      <c r="G182" s="294"/>
      <c r="H182" s="490">
        <f t="shared" si="79"/>
        <v>0</v>
      </c>
      <c r="I182" s="290"/>
      <c r="J182" s="119">
        <f t="shared" si="81"/>
        <v>0</v>
      </c>
      <c r="K182" s="290"/>
      <c r="L182" s="290">
        <f t="shared" si="77"/>
        <v>0</v>
      </c>
      <c r="M182" s="354"/>
      <c r="N182" s="353"/>
      <c r="O182" s="431"/>
      <c r="P182" s="119"/>
      <c r="Q182" s="119"/>
      <c r="R182" s="119"/>
      <c r="S182" s="119"/>
      <c r="T182" s="119"/>
      <c r="U182" s="119"/>
      <c r="V182" s="119"/>
      <c r="W182" s="356"/>
      <c r="X182" s="290"/>
      <c r="Y182" s="119"/>
      <c r="Z182" s="119"/>
      <c r="AA182" s="119"/>
      <c r="AB182" s="119"/>
      <c r="AC182" s="119"/>
      <c r="AD182" s="119"/>
      <c r="AE182" s="355"/>
      <c r="AF182" s="356"/>
    </row>
    <row r="183" spans="1:103" s="351" customFormat="1" ht="15.75" x14ac:dyDescent="0.25">
      <c r="A183" s="345" t="s">
        <v>143</v>
      </c>
      <c r="B183" s="474" t="s">
        <v>212</v>
      </c>
      <c r="C183" s="430">
        <f>+C184+C185+C186+C187</f>
        <v>76694.099999999991</v>
      </c>
      <c r="D183" s="455">
        <f>+D184+D185+D186+D187</f>
        <v>72728</v>
      </c>
      <c r="E183" s="274">
        <f>+E184+E185+E186+E187</f>
        <v>62556.810000000005</v>
      </c>
      <c r="F183" s="455">
        <f>+F184+F185+F186+F187</f>
        <v>80661</v>
      </c>
      <c r="G183" s="292">
        <f t="shared" si="68"/>
        <v>0.90165011591723387</v>
      </c>
      <c r="H183" s="489">
        <f t="shared" si="79"/>
        <v>1.0517236658360944</v>
      </c>
      <c r="I183" s="349"/>
      <c r="J183" s="347">
        <f>+J184+J185+J186+J187</f>
        <v>80901.600000000006</v>
      </c>
      <c r="K183" s="291"/>
      <c r="L183" s="291">
        <f t="shared" si="77"/>
        <v>88476</v>
      </c>
      <c r="M183" s="348">
        <f t="shared" ref="M183:M191" si="82">+J183/L183</f>
        <v>0.91439034314390355</v>
      </c>
      <c r="N183" s="392"/>
      <c r="O183" s="430">
        <f t="shared" ref="O183:AF183" si="83">SUM(O184:O187)</f>
        <v>0</v>
      </c>
      <c r="P183" s="455">
        <f t="shared" si="83"/>
        <v>61500</v>
      </c>
      <c r="Q183" s="455">
        <f t="shared" si="83"/>
        <v>3901.6000000000004</v>
      </c>
      <c r="R183" s="455">
        <f t="shared" si="83"/>
        <v>0</v>
      </c>
      <c r="S183" s="455">
        <f t="shared" si="83"/>
        <v>0</v>
      </c>
      <c r="T183" s="455">
        <f t="shared" si="83"/>
        <v>15500</v>
      </c>
      <c r="U183" s="455">
        <f t="shared" si="83"/>
        <v>0</v>
      </c>
      <c r="V183" s="455">
        <f t="shared" si="83"/>
        <v>0</v>
      </c>
      <c r="W183" s="350">
        <f t="shared" si="83"/>
        <v>0</v>
      </c>
      <c r="X183" s="349">
        <f t="shared" si="83"/>
        <v>0</v>
      </c>
      <c r="Y183" s="455">
        <f t="shared" si="83"/>
        <v>68099</v>
      </c>
      <c r="Z183" s="455">
        <f t="shared" si="83"/>
        <v>4877</v>
      </c>
      <c r="AA183" s="455">
        <f t="shared" si="83"/>
        <v>0</v>
      </c>
      <c r="AB183" s="455">
        <f t="shared" si="83"/>
        <v>0</v>
      </c>
      <c r="AC183" s="455">
        <f t="shared" si="83"/>
        <v>15500</v>
      </c>
      <c r="AD183" s="455">
        <f t="shared" si="83"/>
        <v>0</v>
      </c>
      <c r="AE183" s="455">
        <f t="shared" si="83"/>
        <v>0</v>
      </c>
      <c r="AF183" s="350">
        <f t="shared" si="83"/>
        <v>0</v>
      </c>
      <c r="AG183" s="293"/>
      <c r="AH183" s="293"/>
      <c r="AI183" s="293"/>
      <c r="AJ183" s="293"/>
      <c r="AK183" s="293"/>
      <c r="AL183" s="293"/>
      <c r="AM183" s="293"/>
      <c r="AN183" s="293"/>
      <c r="AO183" s="293"/>
      <c r="AP183" s="293"/>
      <c r="AQ183" s="293"/>
      <c r="AR183" s="293"/>
      <c r="AS183" s="293"/>
      <c r="AT183" s="293"/>
      <c r="AU183" s="293"/>
      <c r="AV183" s="293"/>
      <c r="AW183" s="293"/>
      <c r="AX183" s="293"/>
      <c r="AY183" s="293"/>
      <c r="AZ183" s="293"/>
      <c r="BA183" s="293"/>
      <c r="BB183" s="293"/>
      <c r="BC183" s="293"/>
      <c r="BD183" s="293"/>
      <c r="BE183" s="293"/>
      <c r="BF183" s="293"/>
      <c r="BG183" s="293"/>
      <c r="BH183" s="293"/>
      <c r="BI183" s="293"/>
      <c r="BJ183" s="293"/>
      <c r="BK183" s="293"/>
      <c r="BL183" s="293"/>
      <c r="BM183" s="293"/>
      <c r="BN183" s="293"/>
      <c r="BO183" s="293"/>
      <c r="BP183" s="293"/>
      <c r="BQ183" s="293"/>
      <c r="BR183" s="293"/>
      <c r="BS183" s="293"/>
      <c r="BT183" s="293"/>
      <c r="BU183" s="293"/>
      <c r="BV183" s="293"/>
      <c r="BW183" s="293"/>
      <c r="BX183" s="293"/>
      <c r="BY183" s="293"/>
      <c r="BZ183" s="293"/>
      <c r="CA183" s="293"/>
      <c r="CB183" s="293"/>
      <c r="CC183" s="293"/>
      <c r="CD183" s="293"/>
      <c r="CE183" s="293"/>
      <c r="CF183" s="293"/>
      <c r="CG183" s="293"/>
      <c r="CH183" s="293"/>
      <c r="CI183" s="293"/>
      <c r="CJ183" s="293"/>
      <c r="CK183" s="293"/>
      <c r="CL183" s="293"/>
      <c r="CM183" s="293"/>
      <c r="CN183" s="293"/>
      <c r="CO183" s="293"/>
      <c r="CP183" s="293"/>
      <c r="CQ183" s="293"/>
      <c r="CR183" s="293"/>
      <c r="CS183" s="293"/>
      <c r="CT183" s="293"/>
      <c r="CU183" s="293"/>
      <c r="CV183" s="293"/>
      <c r="CW183" s="293"/>
      <c r="CX183" s="293"/>
      <c r="CY183" s="293"/>
    </row>
    <row r="184" spans="1:103" outlineLevel="1" x14ac:dyDescent="0.25">
      <c r="A184" s="352" t="s">
        <v>144</v>
      </c>
      <c r="B184" s="475" t="s">
        <v>1193</v>
      </c>
      <c r="C184" s="431">
        <v>42748.1</v>
      </c>
      <c r="D184" s="119">
        <v>40128</v>
      </c>
      <c r="E184" s="110">
        <v>37088</v>
      </c>
      <c r="F184" s="119">
        <v>43932</v>
      </c>
      <c r="G184" s="294">
        <f t="shared" si="68"/>
        <v>0.91341163616498222</v>
      </c>
      <c r="H184" s="490">
        <f t="shared" si="79"/>
        <v>1.0276947981313789</v>
      </c>
      <c r="I184" s="290"/>
      <c r="J184" s="119">
        <f t="shared" si="81"/>
        <v>44401.599999999999</v>
      </c>
      <c r="K184" s="290"/>
      <c r="L184" s="290">
        <f t="shared" si="77"/>
        <v>48747</v>
      </c>
      <c r="M184" s="354">
        <f t="shared" si="82"/>
        <v>0.91085810408845669</v>
      </c>
      <c r="N184" s="353"/>
      <c r="O184" s="431"/>
      <c r="P184" s="119">
        <v>25000</v>
      </c>
      <c r="Q184" s="119">
        <f>+Z184*0.8</f>
        <v>3901.6000000000004</v>
      </c>
      <c r="R184" s="119"/>
      <c r="S184" s="119"/>
      <c r="T184" s="119">
        <v>15500</v>
      </c>
      <c r="U184" s="119"/>
      <c r="V184" s="119"/>
      <c r="W184" s="356"/>
      <c r="X184" s="290"/>
      <c r="Y184" s="119">
        <f>24670-1115+4500+6000+660-345-8000+2000</f>
        <v>28370</v>
      </c>
      <c r="Z184" s="119">
        <v>4877</v>
      </c>
      <c r="AA184" s="119"/>
      <c r="AB184" s="119"/>
      <c r="AC184" s="119">
        <v>15500</v>
      </c>
      <c r="AD184" s="119"/>
      <c r="AE184" s="355"/>
      <c r="AF184" s="356"/>
    </row>
    <row r="185" spans="1:103" outlineLevel="1" x14ac:dyDescent="0.25">
      <c r="A185" s="352" t="s">
        <v>145</v>
      </c>
      <c r="B185" s="475" t="s">
        <v>1194</v>
      </c>
      <c r="C185" s="431">
        <v>27802.39</v>
      </c>
      <c r="D185" s="119">
        <v>28000</v>
      </c>
      <c r="E185" s="110">
        <v>24243.15</v>
      </c>
      <c r="F185" s="119">
        <v>29229</v>
      </c>
      <c r="G185" s="294">
        <f t="shared" si="68"/>
        <v>0.95795271819083783</v>
      </c>
      <c r="H185" s="490">
        <f t="shared" si="79"/>
        <v>1.0513124950768622</v>
      </c>
      <c r="I185" s="290"/>
      <c r="J185" s="119">
        <f t="shared" si="81"/>
        <v>29000</v>
      </c>
      <c r="K185" s="290"/>
      <c r="L185" s="290">
        <f t="shared" si="77"/>
        <v>32229</v>
      </c>
      <c r="M185" s="354">
        <f t="shared" si="82"/>
        <v>0.89981072946724994</v>
      </c>
      <c r="N185" s="353"/>
      <c r="O185" s="431"/>
      <c r="P185" s="119">
        <v>29000</v>
      </c>
      <c r="Q185" s="119"/>
      <c r="R185" s="119"/>
      <c r="S185" s="119"/>
      <c r="T185" s="119"/>
      <c r="U185" s="119"/>
      <c r="V185" s="119"/>
      <c r="W185" s="356"/>
      <c r="X185" s="290"/>
      <c r="Y185" s="119">
        <v>32229</v>
      </c>
      <c r="Z185" s="119"/>
      <c r="AA185" s="119"/>
      <c r="AB185" s="119"/>
      <c r="AC185" s="119"/>
      <c r="AD185" s="119"/>
      <c r="AE185" s="355"/>
      <c r="AF185" s="356"/>
    </row>
    <row r="186" spans="1:103" outlineLevel="1" x14ac:dyDescent="0.25">
      <c r="A186" s="352" t="s">
        <v>146</v>
      </c>
      <c r="B186" s="475" t="s">
        <v>874</v>
      </c>
      <c r="C186" s="431">
        <v>1363.24</v>
      </c>
      <c r="D186" s="119">
        <v>1600</v>
      </c>
      <c r="E186" s="110">
        <v>1102.43</v>
      </c>
      <c r="F186" s="119">
        <f>+L186</f>
        <v>2000</v>
      </c>
      <c r="G186" s="294">
        <f t="shared" si="68"/>
        <v>0.8</v>
      </c>
      <c r="H186" s="490">
        <f t="shared" si="79"/>
        <v>1.4670931017282356</v>
      </c>
      <c r="I186" s="290"/>
      <c r="J186" s="119">
        <f t="shared" si="81"/>
        <v>2000</v>
      </c>
      <c r="K186" s="290"/>
      <c r="L186" s="290">
        <f t="shared" si="77"/>
        <v>2000</v>
      </c>
      <c r="M186" s="354">
        <f t="shared" si="82"/>
        <v>1</v>
      </c>
      <c r="N186" s="353"/>
      <c r="O186" s="431"/>
      <c r="P186" s="119">
        <v>2000</v>
      </c>
      <c r="Q186" s="119"/>
      <c r="R186" s="119"/>
      <c r="S186" s="119"/>
      <c r="T186" s="119"/>
      <c r="U186" s="119"/>
      <c r="V186" s="119"/>
      <c r="W186" s="356"/>
      <c r="X186" s="290"/>
      <c r="Y186" s="119">
        <v>2000</v>
      </c>
      <c r="Z186" s="119"/>
      <c r="AA186" s="119"/>
      <c r="AB186" s="119"/>
      <c r="AC186" s="119"/>
      <c r="AD186" s="119"/>
      <c r="AE186" s="355"/>
      <c r="AF186" s="356"/>
    </row>
    <row r="187" spans="1:103" outlineLevel="1" x14ac:dyDescent="0.25">
      <c r="A187" s="352" t="s">
        <v>1060</v>
      </c>
      <c r="B187" s="475" t="s">
        <v>47</v>
      </c>
      <c r="C187" s="431">
        <v>4780.37</v>
      </c>
      <c r="D187" s="119">
        <v>3000</v>
      </c>
      <c r="E187" s="110">
        <v>123.23</v>
      </c>
      <c r="F187" s="119">
        <f>+L187</f>
        <v>5500</v>
      </c>
      <c r="G187" s="294">
        <f t="shared" si="68"/>
        <v>0.54545454545454541</v>
      </c>
      <c r="H187" s="490">
        <f t="shared" si="79"/>
        <v>1.1505385566389212</v>
      </c>
      <c r="I187" s="290"/>
      <c r="J187" s="119">
        <f t="shared" si="81"/>
        <v>5500</v>
      </c>
      <c r="K187" s="290"/>
      <c r="L187" s="290">
        <f t="shared" si="77"/>
        <v>5500</v>
      </c>
      <c r="M187" s="354">
        <f t="shared" si="82"/>
        <v>1</v>
      </c>
      <c r="N187" s="353"/>
      <c r="O187" s="431"/>
      <c r="P187" s="119">
        <f>+Y187</f>
        <v>5500</v>
      </c>
      <c r="Q187" s="119"/>
      <c r="R187" s="119"/>
      <c r="S187" s="119"/>
      <c r="T187" s="119"/>
      <c r="U187" s="119"/>
      <c r="V187" s="119"/>
      <c r="W187" s="356"/>
      <c r="X187" s="290"/>
      <c r="Y187" s="119">
        <v>5500</v>
      </c>
      <c r="Z187" s="119"/>
      <c r="AA187" s="119"/>
      <c r="AB187" s="119"/>
      <c r="AC187" s="119"/>
      <c r="AD187" s="119"/>
      <c r="AE187" s="355"/>
      <c r="AF187" s="356"/>
    </row>
    <row r="188" spans="1:103" s="351" customFormat="1" ht="15.75" x14ac:dyDescent="0.25">
      <c r="A188" s="345" t="s">
        <v>150</v>
      </c>
      <c r="B188" s="474" t="s">
        <v>228</v>
      </c>
      <c r="C188" s="430">
        <f>+C189+C190+C191+C192</f>
        <v>48382.93</v>
      </c>
      <c r="D188" s="455">
        <f>+D189+D190+D191+D192</f>
        <v>60500</v>
      </c>
      <c r="E188" s="274">
        <f>+E189+E190+E191+E192</f>
        <v>49229.73</v>
      </c>
      <c r="F188" s="455">
        <f>+F189+F190+F191+F192</f>
        <v>50061</v>
      </c>
      <c r="G188" s="292">
        <f t="shared" si="68"/>
        <v>1.2085255987695012</v>
      </c>
      <c r="H188" s="489">
        <f t="shared" si="79"/>
        <v>1.0346831000106855</v>
      </c>
      <c r="I188" s="349"/>
      <c r="J188" s="347">
        <f>+J189+J190+J191+J192</f>
        <v>53575</v>
      </c>
      <c r="K188" s="291"/>
      <c r="L188" s="291">
        <f t="shared" si="77"/>
        <v>50061</v>
      </c>
      <c r="M188" s="348">
        <f t="shared" si="82"/>
        <v>1.0701943628772896</v>
      </c>
      <c r="N188" s="392"/>
      <c r="O188" s="430">
        <f t="shared" ref="O188:AF188" si="84">SUM(O189:O192)</f>
        <v>0</v>
      </c>
      <c r="P188" s="455">
        <f t="shared" si="84"/>
        <v>53575</v>
      </c>
      <c r="Q188" s="455">
        <f t="shared" si="84"/>
        <v>0</v>
      </c>
      <c r="R188" s="455">
        <f t="shared" si="84"/>
        <v>0</v>
      </c>
      <c r="S188" s="455">
        <f t="shared" si="84"/>
        <v>0</v>
      </c>
      <c r="T188" s="455">
        <f t="shared" si="84"/>
        <v>0</v>
      </c>
      <c r="U188" s="455">
        <f t="shared" si="84"/>
        <v>0</v>
      </c>
      <c r="V188" s="455">
        <f t="shared" si="84"/>
        <v>0</v>
      </c>
      <c r="W188" s="350">
        <f t="shared" si="84"/>
        <v>0</v>
      </c>
      <c r="X188" s="349">
        <f t="shared" si="84"/>
        <v>0</v>
      </c>
      <c r="Y188" s="455">
        <f t="shared" si="84"/>
        <v>50061</v>
      </c>
      <c r="Z188" s="455">
        <f t="shared" si="84"/>
        <v>0</v>
      </c>
      <c r="AA188" s="455">
        <f t="shared" si="84"/>
        <v>0</v>
      </c>
      <c r="AB188" s="455">
        <f t="shared" si="84"/>
        <v>0</v>
      </c>
      <c r="AC188" s="455">
        <f t="shared" si="84"/>
        <v>0</v>
      </c>
      <c r="AD188" s="455">
        <f t="shared" si="84"/>
        <v>0</v>
      </c>
      <c r="AE188" s="455">
        <f t="shared" si="84"/>
        <v>0</v>
      </c>
      <c r="AF188" s="350">
        <f t="shared" si="84"/>
        <v>0</v>
      </c>
      <c r="AG188" s="293"/>
      <c r="AH188" s="293"/>
      <c r="AI188" s="293"/>
      <c r="AJ188" s="293"/>
      <c r="AK188" s="293"/>
      <c r="AL188" s="293"/>
      <c r="AM188" s="293"/>
      <c r="AN188" s="293"/>
      <c r="AO188" s="293"/>
      <c r="AP188" s="293"/>
      <c r="AQ188" s="293"/>
      <c r="AR188" s="293"/>
      <c r="AS188" s="293"/>
      <c r="AT188" s="293"/>
      <c r="AU188" s="293"/>
      <c r="AV188" s="293"/>
      <c r="AW188" s="293"/>
      <c r="AX188" s="293"/>
      <c r="AY188" s="293"/>
      <c r="AZ188" s="293"/>
      <c r="BA188" s="293"/>
      <c r="BB188" s="293"/>
      <c r="BC188" s="293"/>
      <c r="BD188" s="293"/>
      <c r="BE188" s="293"/>
      <c r="BF188" s="293"/>
      <c r="BG188" s="293"/>
      <c r="BH188" s="293"/>
      <c r="BI188" s="293"/>
      <c r="BJ188" s="293"/>
      <c r="BK188" s="293"/>
      <c r="BL188" s="293"/>
      <c r="BM188" s="293"/>
      <c r="BN188" s="293"/>
      <c r="BO188" s="293"/>
      <c r="BP188" s="293"/>
      <c r="BQ188" s="293"/>
      <c r="BR188" s="293"/>
      <c r="BS188" s="293"/>
      <c r="BT188" s="293"/>
      <c r="BU188" s="293"/>
      <c r="BV188" s="293"/>
      <c r="BW188" s="293"/>
      <c r="BX188" s="293"/>
      <c r="BY188" s="293"/>
      <c r="BZ188" s="293"/>
      <c r="CA188" s="293"/>
      <c r="CB188" s="293"/>
      <c r="CC188" s="293"/>
      <c r="CD188" s="293"/>
      <c r="CE188" s="293"/>
      <c r="CF188" s="293"/>
      <c r="CG188" s="293"/>
      <c r="CH188" s="293"/>
      <c r="CI188" s="293"/>
      <c r="CJ188" s="293"/>
      <c r="CK188" s="293"/>
      <c r="CL188" s="293"/>
      <c r="CM188" s="293"/>
      <c r="CN188" s="293"/>
      <c r="CO188" s="293"/>
      <c r="CP188" s="293"/>
      <c r="CQ188" s="293"/>
      <c r="CR188" s="293"/>
      <c r="CS188" s="293"/>
      <c r="CT188" s="293"/>
      <c r="CU188" s="293"/>
      <c r="CV188" s="293"/>
      <c r="CW188" s="293"/>
      <c r="CX188" s="293"/>
      <c r="CY188" s="293"/>
    </row>
    <row r="189" spans="1:103" outlineLevel="1" x14ac:dyDescent="0.25">
      <c r="A189" s="352" t="s">
        <v>151</v>
      </c>
      <c r="B189" s="475" t="s">
        <v>871</v>
      </c>
      <c r="C189" s="431">
        <v>6233.6</v>
      </c>
      <c r="D189" s="119">
        <v>7000</v>
      </c>
      <c r="E189" s="110">
        <v>6275.09</v>
      </c>
      <c r="F189" s="119">
        <f>+L189</f>
        <v>6000</v>
      </c>
      <c r="G189" s="294">
        <f t="shared" si="68"/>
        <v>1.1666666666666667</v>
      </c>
      <c r="H189" s="490">
        <f t="shared" si="79"/>
        <v>0.96252566735112932</v>
      </c>
      <c r="I189" s="290"/>
      <c r="J189" s="119">
        <f t="shared" si="81"/>
        <v>6775</v>
      </c>
      <c r="K189" s="290"/>
      <c r="L189" s="290">
        <f t="shared" si="77"/>
        <v>6000</v>
      </c>
      <c r="M189" s="354">
        <f t="shared" si="82"/>
        <v>1.1291666666666667</v>
      </c>
      <c r="N189" s="353"/>
      <c r="O189" s="431"/>
      <c r="P189" s="119">
        <v>6775</v>
      </c>
      <c r="Q189" s="119"/>
      <c r="R189" s="119"/>
      <c r="S189" s="119"/>
      <c r="T189" s="119"/>
      <c r="U189" s="119"/>
      <c r="V189" s="119"/>
      <c r="W189" s="356"/>
      <c r="X189" s="290"/>
      <c r="Y189" s="119">
        <v>6000</v>
      </c>
      <c r="Z189" s="119"/>
      <c r="AA189" s="119"/>
      <c r="AB189" s="119"/>
      <c r="AC189" s="119"/>
      <c r="AD189" s="119"/>
      <c r="AE189" s="355"/>
      <c r="AF189" s="356"/>
    </row>
    <row r="190" spans="1:103" outlineLevel="1" x14ac:dyDescent="0.25">
      <c r="A190" s="374" t="s">
        <v>154</v>
      </c>
      <c r="B190" s="475" t="s">
        <v>872</v>
      </c>
      <c r="C190" s="431">
        <v>19129.810000000001</v>
      </c>
      <c r="D190" s="119">
        <v>27113</v>
      </c>
      <c r="E190" s="110">
        <v>21543.73</v>
      </c>
      <c r="F190" s="119">
        <f>+L190</f>
        <v>20374</v>
      </c>
      <c r="G190" s="294">
        <f t="shared" si="68"/>
        <v>1.3307647001079808</v>
      </c>
      <c r="H190" s="490">
        <f t="shared" si="79"/>
        <v>1.0650393286708022</v>
      </c>
      <c r="I190" s="290"/>
      <c r="J190" s="119">
        <f t="shared" si="81"/>
        <v>23113</v>
      </c>
      <c r="K190" s="290"/>
      <c r="L190" s="290">
        <f t="shared" si="77"/>
        <v>20374</v>
      </c>
      <c r="M190" s="354">
        <f t="shared" si="82"/>
        <v>1.1344360459409051</v>
      </c>
      <c r="N190" s="353"/>
      <c r="O190" s="431"/>
      <c r="P190" s="119">
        <v>23113</v>
      </c>
      <c r="Q190" s="119"/>
      <c r="R190" s="119"/>
      <c r="S190" s="119"/>
      <c r="T190" s="119"/>
      <c r="U190" s="119"/>
      <c r="V190" s="119"/>
      <c r="W190" s="356"/>
      <c r="X190" s="290"/>
      <c r="Y190" s="119">
        <v>20374</v>
      </c>
      <c r="Z190" s="119"/>
      <c r="AA190" s="119"/>
      <c r="AB190" s="119"/>
      <c r="AC190" s="119"/>
      <c r="AD190" s="119"/>
      <c r="AE190" s="355"/>
      <c r="AF190" s="356"/>
    </row>
    <row r="191" spans="1:103" outlineLevel="1" x14ac:dyDescent="0.25">
      <c r="A191" s="352" t="s">
        <v>1061</v>
      </c>
      <c r="B191" s="475" t="s">
        <v>873</v>
      </c>
      <c r="C191" s="431">
        <v>21817.14</v>
      </c>
      <c r="D191" s="119">
        <f>25687+700</f>
        <v>26387</v>
      </c>
      <c r="E191" s="110">
        <v>20072.09</v>
      </c>
      <c r="F191" s="119">
        <f>+L191</f>
        <v>23687</v>
      </c>
      <c r="G191" s="294">
        <f t="shared" si="68"/>
        <v>1.1139865749145101</v>
      </c>
      <c r="H191" s="490">
        <f t="shared" si="79"/>
        <v>1.0857060091286026</v>
      </c>
      <c r="I191" s="290"/>
      <c r="J191" s="119">
        <f t="shared" si="81"/>
        <v>23687</v>
      </c>
      <c r="K191" s="290"/>
      <c r="L191" s="290">
        <f t="shared" si="77"/>
        <v>23687</v>
      </c>
      <c r="M191" s="354">
        <f t="shared" si="82"/>
        <v>1</v>
      </c>
      <c r="N191" s="353"/>
      <c r="O191" s="431"/>
      <c r="P191" s="119">
        <f>26687-3000</f>
        <v>23687</v>
      </c>
      <c r="Q191" s="119"/>
      <c r="R191" s="119"/>
      <c r="S191" s="119"/>
      <c r="T191" s="119"/>
      <c r="U191" s="119"/>
      <c r="V191" s="119"/>
      <c r="W191" s="356"/>
      <c r="X191" s="290"/>
      <c r="Y191" s="119">
        <v>23687</v>
      </c>
      <c r="Z191" s="119"/>
      <c r="AA191" s="119"/>
      <c r="AB191" s="119"/>
      <c r="AC191" s="119"/>
      <c r="AD191" s="119"/>
      <c r="AE191" s="355"/>
      <c r="AF191" s="356"/>
    </row>
    <row r="192" spans="1:103" outlineLevel="1" x14ac:dyDescent="0.25">
      <c r="A192" s="352" t="s">
        <v>1062</v>
      </c>
      <c r="B192" s="475" t="s">
        <v>47</v>
      </c>
      <c r="C192" s="431">
        <v>1202.3800000000001</v>
      </c>
      <c r="D192" s="119">
        <f>+J192</f>
        <v>0</v>
      </c>
      <c r="E192" s="110">
        <v>1338.82</v>
      </c>
      <c r="F192" s="119">
        <f>+L192</f>
        <v>0</v>
      </c>
      <c r="G192" s="294"/>
      <c r="H192" s="490">
        <f t="shared" si="79"/>
        <v>0</v>
      </c>
      <c r="I192" s="290"/>
      <c r="J192" s="119">
        <f t="shared" si="81"/>
        <v>0</v>
      </c>
      <c r="K192" s="290"/>
      <c r="L192" s="290">
        <f t="shared" si="77"/>
        <v>0</v>
      </c>
      <c r="M192" s="354"/>
      <c r="N192" s="353"/>
      <c r="O192" s="431"/>
      <c r="P192" s="119"/>
      <c r="Q192" s="119"/>
      <c r="R192" s="119"/>
      <c r="S192" s="119"/>
      <c r="T192" s="119"/>
      <c r="U192" s="119"/>
      <c r="V192" s="119"/>
      <c r="W192" s="356"/>
      <c r="X192" s="290"/>
      <c r="Y192" s="119"/>
      <c r="Z192" s="119"/>
      <c r="AA192" s="119"/>
      <c r="AB192" s="119"/>
      <c r="AC192" s="119"/>
      <c r="AD192" s="119"/>
      <c r="AE192" s="355"/>
      <c r="AF192" s="356"/>
    </row>
    <row r="193" spans="1:103" s="351" customFormat="1" ht="15.75" x14ac:dyDescent="0.25">
      <c r="A193" s="345" t="s">
        <v>1063</v>
      </c>
      <c r="B193" s="474" t="s">
        <v>495</v>
      </c>
      <c r="C193" s="430">
        <f>+C194</f>
        <v>16500</v>
      </c>
      <c r="D193" s="455">
        <f>+D194</f>
        <v>16500</v>
      </c>
      <c r="E193" s="274">
        <f>+E194</f>
        <v>16500</v>
      </c>
      <c r="F193" s="455">
        <f>+F194</f>
        <v>16500</v>
      </c>
      <c r="G193" s="292">
        <f t="shared" si="68"/>
        <v>1</v>
      </c>
      <c r="H193" s="489">
        <f t="shared" si="79"/>
        <v>1</v>
      </c>
      <c r="I193" s="349"/>
      <c r="J193" s="347">
        <f>+J194</f>
        <v>16500</v>
      </c>
      <c r="K193" s="291"/>
      <c r="L193" s="291">
        <f t="shared" si="77"/>
        <v>16500</v>
      </c>
      <c r="M193" s="348">
        <f>+J193/L193</f>
        <v>1</v>
      </c>
      <c r="N193" s="392"/>
      <c r="O193" s="430">
        <f>+O194</f>
        <v>5000</v>
      </c>
      <c r="P193" s="455">
        <f t="shared" ref="P193:AF193" si="85">SUM(P194:P194)</f>
        <v>11500</v>
      </c>
      <c r="Q193" s="455">
        <f t="shared" si="85"/>
        <v>0</v>
      </c>
      <c r="R193" s="455">
        <f t="shared" si="85"/>
        <v>0</v>
      </c>
      <c r="S193" s="455">
        <f t="shared" si="85"/>
        <v>0</v>
      </c>
      <c r="T193" s="455">
        <f t="shared" si="85"/>
        <v>0</v>
      </c>
      <c r="U193" s="455">
        <f t="shared" si="85"/>
        <v>0</v>
      </c>
      <c r="V193" s="455">
        <f t="shared" si="85"/>
        <v>0</v>
      </c>
      <c r="W193" s="350">
        <f t="shared" si="85"/>
        <v>0</v>
      </c>
      <c r="X193" s="349">
        <f t="shared" si="85"/>
        <v>8500</v>
      </c>
      <c r="Y193" s="455">
        <f t="shared" si="85"/>
        <v>8000</v>
      </c>
      <c r="Z193" s="455">
        <f t="shared" si="85"/>
        <v>0</v>
      </c>
      <c r="AA193" s="455">
        <f t="shared" si="85"/>
        <v>0</v>
      </c>
      <c r="AB193" s="455">
        <f t="shared" si="85"/>
        <v>0</v>
      </c>
      <c r="AC193" s="455">
        <f t="shared" si="85"/>
        <v>0</v>
      </c>
      <c r="AD193" s="455">
        <f t="shared" si="85"/>
        <v>0</v>
      </c>
      <c r="AE193" s="455">
        <f t="shared" si="85"/>
        <v>0</v>
      </c>
      <c r="AF193" s="350">
        <f t="shared" si="85"/>
        <v>0</v>
      </c>
      <c r="AG193" s="293"/>
      <c r="AH193" s="293"/>
      <c r="AI193" s="293"/>
      <c r="AJ193" s="293"/>
      <c r="AK193" s="293"/>
      <c r="AL193" s="293"/>
      <c r="AM193" s="293"/>
      <c r="AN193" s="293"/>
      <c r="AO193" s="293"/>
      <c r="AP193" s="293"/>
      <c r="AQ193" s="293"/>
      <c r="AR193" s="293"/>
      <c r="AS193" s="293"/>
      <c r="AT193" s="293"/>
      <c r="AU193" s="293"/>
      <c r="AV193" s="293"/>
      <c r="AW193" s="293"/>
      <c r="AX193" s="293"/>
      <c r="AY193" s="293"/>
      <c r="AZ193" s="293"/>
      <c r="BA193" s="293"/>
      <c r="BB193" s="293"/>
      <c r="BC193" s="293"/>
      <c r="BD193" s="293"/>
      <c r="BE193" s="293"/>
      <c r="BF193" s="293"/>
      <c r="BG193" s="293"/>
      <c r="BH193" s="293"/>
      <c r="BI193" s="293"/>
      <c r="BJ193" s="293"/>
      <c r="BK193" s="293"/>
      <c r="BL193" s="293"/>
      <c r="BM193" s="293"/>
      <c r="BN193" s="293"/>
      <c r="BO193" s="293"/>
      <c r="BP193" s="293"/>
      <c r="BQ193" s="293"/>
      <c r="BR193" s="293"/>
      <c r="BS193" s="293"/>
      <c r="BT193" s="293"/>
      <c r="BU193" s="293"/>
      <c r="BV193" s="293"/>
      <c r="BW193" s="293"/>
      <c r="BX193" s="293"/>
      <c r="BY193" s="293"/>
      <c r="BZ193" s="293"/>
      <c r="CA193" s="293"/>
      <c r="CB193" s="293"/>
      <c r="CC193" s="293"/>
      <c r="CD193" s="293"/>
      <c r="CE193" s="293"/>
      <c r="CF193" s="293"/>
      <c r="CG193" s="293"/>
      <c r="CH193" s="293"/>
      <c r="CI193" s="293"/>
      <c r="CJ193" s="293"/>
      <c r="CK193" s="293"/>
      <c r="CL193" s="293"/>
      <c r="CM193" s="293"/>
      <c r="CN193" s="293"/>
      <c r="CO193" s="293"/>
      <c r="CP193" s="293"/>
      <c r="CQ193" s="293"/>
      <c r="CR193" s="293"/>
      <c r="CS193" s="293"/>
      <c r="CT193" s="293"/>
      <c r="CU193" s="293"/>
      <c r="CV193" s="293"/>
      <c r="CW193" s="293"/>
      <c r="CX193" s="293"/>
      <c r="CY193" s="293"/>
    </row>
    <row r="194" spans="1:103" outlineLevel="1" x14ac:dyDescent="0.25">
      <c r="A194" s="352" t="s">
        <v>1064</v>
      </c>
      <c r="B194" s="475" t="s">
        <v>495</v>
      </c>
      <c r="C194" s="431">
        <v>16500</v>
      </c>
      <c r="D194" s="119">
        <f>+J194</f>
        <v>16500</v>
      </c>
      <c r="E194" s="110">
        <v>16500</v>
      </c>
      <c r="F194" s="119">
        <f>+L194</f>
        <v>16500</v>
      </c>
      <c r="G194" s="294">
        <f t="shared" si="68"/>
        <v>1</v>
      </c>
      <c r="H194" s="490">
        <f t="shared" si="79"/>
        <v>1</v>
      </c>
      <c r="I194" s="290"/>
      <c r="J194" s="119">
        <f t="shared" si="81"/>
        <v>16500</v>
      </c>
      <c r="K194" s="290"/>
      <c r="L194" s="290">
        <f t="shared" si="77"/>
        <v>16500</v>
      </c>
      <c r="M194" s="354">
        <f>+J194/L194</f>
        <v>1</v>
      </c>
      <c r="N194" s="353"/>
      <c r="O194" s="431">
        <v>5000</v>
      </c>
      <c r="P194" s="119">
        <v>11500</v>
      </c>
      <c r="Q194" s="119"/>
      <c r="R194" s="119"/>
      <c r="S194" s="119"/>
      <c r="T194" s="119"/>
      <c r="U194" s="119"/>
      <c r="V194" s="119"/>
      <c r="W194" s="356"/>
      <c r="X194" s="290">
        <v>8500</v>
      </c>
      <c r="Y194" s="119">
        <v>8000</v>
      </c>
      <c r="Z194" s="119"/>
      <c r="AA194" s="119"/>
      <c r="AB194" s="119"/>
      <c r="AC194" s="119"/>
      <c r="AD194" s="119"/>
      <c r="AE194" s="355"/>
      <c r="AF194" s="356"/>
    </row>
    <row r="195" spans="1:103" s="344" customFormat="1" ht="21" x14ac:dyDescent="0.35">
      <c r="A195" s="513" t="s">
        <v>158</v>
      </c>
      <c r="B195" s="473" t="s">
        <v>210</v>
      </c>
      <c r="C195" s="429">
        <f>+C196+C212+C227+C236+C240+C247+C253+C265+C270</f>
        <v>219676.74000000002</v>
      </c>
      <c r="D195" s="339">
        <f>+D196+D212+D227+D236+D240+D247+D253+D265+D270</f>
        <v>263915</v>
      </c>
      <c r="E195" s="501">
        <f>+E196+E212+E227+E236+E240+E247+E253+E265+E270</f>
        <v>150208.94999999998</v>
      </c>
      <c r="F195" s="339">
        <f>+F196+F212+F227+F236+F240+F247+F253+F265+F270</f>
        <v>267613</v>
      </c>
      <c r="G195" s="340">
        <f t="shared" si="68"/>
        <v>0.98618153826607824</v>
      </c>
      <c r="H195" s="488">
        <f t="shared" si="79"/>
        <v>1.2182127247518331</v>
      </c>
      <c r="I195" s="288">
        <v>212522</v>
      </c>
      <c r="J195" s="339">
        <f t="shared" si="81"/>
        <v>279885</v>
      </c>
      <c r="K195" s="288">
        <v>133971</v>
      </c>
      <c r="L195" s="288">
        <f t="shared" si="77"/>
        <v>277313</v>
      </c>
      <c r="M195" s="342">
        <f>+J195/L195</f>
        <v>1.0092747184589255</v>
      </c>
      <c r="N195" s="341">
        <f>+L195/I195</f>
        <v>1.3048672608012346</v>
      </c>
      <c r="O195" s="429">
        <f t="shared" ref="O195:Z195" si="86">O196+O212+O227+O236+O240+O247+O253+O265+O270</f>
        <v>0</v>
      </c>
      <c r="P195" s="339">
        <f t="shared" si="86"/>
        <v>203785</v>
      </c>
      <c r="Q195" s="339">
        <f t="shared" si="86"/>
        <v>4756</v>
      </c>
      <c r="R195" s="339">
        <f t="shared" si="86"/>
        <v>0</v>
      </c>
      <c r="S195" s="339">
        <f t="shared" si="86"/>
        <v>0</v>
      </c>
      <c r="T195" s="339">
        <f t="shared" si="86"/>
        <v>0</v>
      </c>
      <c r="U195" s="339">
        <f t="shared" si="86"/>
        <v>0</v>
      </c>
      <c r="V195" s="339">
        <f t="shared" si="86"/>
        <v>71344</v>
      </c>
      <c r="W195" s="461">
        <f t="shared" si="86"/>
        <v>0</v>
      </c>
      <c r="X195" s="288">
        <f t="shared" si="86"/>
        <v>0</v>
      </c>
      <c r="Y195" s="288">
        <f t="shared" si="86"/>
        <v>187113</v>
      </c>
      <c r="Z195" s="288">
        <f t="shared" si="86"/>
        <v>4756</v>
      </c>
      <c r="AA195" s="288"/>
      <c r="AB195" s="288"/>
      <c r="AC195" s="288">
        <f>+AC196+AC212+AC227+AC236+AC240+AC247+AC253+AC265+AC270</f>
        <v>0</v>
      </c>
      <c r="AD195" s="288">
        <f>+AD196+AD212+AD227+AD236+AD240+AD247+AD253+AD265+AD270</f>
        <v>0</v>
      </c>
      <c r="AE195" s="288">
        <f>+AE196+AE212+AE227+AE236+AE240+AE247+AE253+AE265+AE270</f>
        <v>85444</v>
      </c>
      <c r="AF195" s="289">
        <f>+AF196+AF212+AF227+AF236+AF240+AF247+AF253+AF265+AF270</f>
        <v>0</v>
      </c>
      <c r="AG195" s="343"/>
      <c r="AH195" s="343"/>
      <c r="AI195" s="343"/>
      <c r="AJ195" s="343"/>
      <c r="AK195" s="343"/>
      <c r="AL195" s="343"/>
      <c r="AM195" s="343"/>
      <c r="AN195" s="343"/>
      <c r="AO195" s="343"/>
      <c r="AP195" s="343"/>
      <c r="AQ195" s="343"/>
      <c r="AR195" s="343"/>
      <c r="AS195" s="343"/>
      <c r="AT195" s="343"/>
      <c r="AU195" s="343"/>
      <c r="AV195" s="343"/>
      <c r="AW195" s="343"/>
      <c r="AX195" s="343"/>
      <c r="AY195" s="343"/>
      <c r="AZ195" s="343"/>
      <c r="BA195" s="343"/>
      <c r="BB195" s="343"/>
      <c r="BC195" s="343"/>
      <c r="BD195" s="343"/>
      <c r="BE195" s="343"/>
      <c r="BF195" s="343"/>
      <c r="BG195" s="343"/>
      <c r="BH195" s="343"/>
      <c r="BI195" s="343"/>
      <c r="BJ195" s="343"/>
      <c r="BK195" s="343"/>
      <c r="BL195" s="343"/>
      <c r="BM195" s="343"/>
      <c r="BN195" s="343"/>
      <c r="BO195" s="343"/>
      <c r="BP195" s="343"/>
      <c r="BQ195" s="343"/>
      <c r="BR195" s="343"/>
      <c r="BS195" s="343"/>
      <c r="BT195" s="343"/>
      <c r="BU195" s="343"/>
      <c r="BV195" s="343"/>
      <c r="BW195" s="343"/>
      <c r="BX195" s="343"/>
      <c r="BY195" s="343"/>
      <c r="BZ195" s="343"/>
      <c r="CA195" s="343"/>
      <c r="CB195" s="343"/>
      <c r="CC195" s="343"/>
      <c r="CD195" s="343"/>
      <c r="CE195" s="343"/>
      <c r="CF195" s="343"/>
      <c r="CG195" s="343"/>
      <c r="CH195" s="343"/>
      <c r="CI195" s="343"/>
      <c r="CJ195" s="343"/>
      <c r="CK195" s="343"/>
      <c r="CL195" s="343"/>
      <c r="CM195" s="343"/>
      <c r="CN195" s="343"/>
      <c r="CO195" s="343"/>
      <c r="CP195" s="343"/>
      <c r="CQ195" s="343"/>
      <c r="CR195" s="343"/>
      <c r="CS195" s="343"/>
      <c r="CT195" s="343"/>
      <c r="CU195" s="343"/>
      <c r="CV195" s="343"/>
      <c r="CW195" s="343"/>
      <c r="CX195" s="343"/>
      <c r="CY195" s="343"/>
    </row>
    <row r="196" spans="1:103" s="351" customFormat="1" ht="15.75" x14ac:dyDescent="0.25">
      <c r="A196" s="345" t="s">
        <v>159</v>
      </c>
      <c r="B196" s="474" t="s">
        <v>312</v>
      </c>
      <c r="C196" s="430">
        <f>SUM(C197:C211)</f>
        <v>41513.53</v>
      </c>
      <c r="D196" s="455">
        <f>+D197+D198+D199+D200+D201+D202+D203+D204+D211+D205+D206+D207+D208+D209+D210</f>
        <v>11700</v>
      </c>
      <c r="E196" s="274">
        <f>+E197+E198+E199+E200+E201+E202+E203+E204+E211+E205+E206+E207+E208</f>
        <v>20220.54</v>
      </c>
      <c r="F196" s="455">
        <f>+F197+F198+F199+F200+F201+F202+F203+F204+F211+F205+F206+F207+F208</f>
        <v>9100</v>
      </c>
      <c r="G196" s="292">
        <f t="shared" si="68"/>
        <v>1.2857142857142858</v>
      </c>
      <c r="H196" s="489">
        <f t="shared" si="79"/>
        <v>0.21920564211234267</v>
      </c>
      <c r="I196" s="349"/>
      <c r="J196" s="347">
        <f>SUM(J197:J211)</f>
        <v>11700</v>
      </c>
      <c r="K196" s="291"/>
      <c r="L196" s="291">
        <f t="shared" si="77"/>
        <v>9100</v>
      </c>
      <c r="M196" s="348">
        <f>+J196/L196</f>
        <v>1.2857142857142858</v>
      </c>
      <c r="N196" s="392"/>
      <c r="O196" s="430">
        <f>SUM(O197:O211)</f>
        <v>0</v>
      </c>
      <c r="P196" s="455">
        <f t="shared" ref="P196:W196" si="87">SUM(P197:P211)</f>
        <v>0</v>
      </c>
      <c r="Q196" s="455">
        <f t="shared" si="87"/>
        <v>0</v>
      </c>
      <c r="R196" s="455">
        <f t="shared" si="87"/>
        <v>0</v>
      </c>
      <c r="S196" s="455">
        <f t="shared" si="87"/>
        <v>0</v>
      </c>
      <c r="T196" s="455">
        <f t="shared" si="87"/>
        <v>0</v>
      </c>
      <c r="U196" s="455">
        <f t="shared" si="87"/>
        <v>0</v>
      </c>
      <c r="V196" s="455">
        <f t="shared" si="87"/>
        <v>11700</v>
      </c>
      <c r="W196" s="350">
        <f t="shared" si="87"/>
        <v>0</v>
      </c>
      <c r="X196" s="349">
        <f>SUM(X197:X211)</f>
        <v>0</v>
      </c>
      <c r="Y196" s="349">
        <f t="shared" ref="Y196:AF196" si="88">SUM(Y197:Y211)</f>
        <v>0</v>
      </c>
      <c r="Z196" s="349">
        <f t="shared" si="88"/>
        <v>0</v>
      </c>
      <c r="AA196" s="349">
        <f t="shared" si="88"/>
        <v>0</v>
      </c>
      <c r="AB196" s="349">
        <f t="shared" si="88"/>
        <v>0</v>
      </c>
      <c r="AC196" s="349">
        <f t="shared" si="88"/>
        <v>0</v>
      </c>
      <c r="AD196" s="349">
        <f t="shared" si="88"/>
        <v>0</v>
      </c>
      <c r="AE196" s="349">
        <f t="shared" si="88"/>
        <v>9100</v>
      </c>
      <c r="AF196" s="359">
        <f t="shared" si="88"/>
        <v>0</v>
      </c>
      <c r="AG196" s="293"/>
      <c r="AH196" s="293"/>
      <c r="AI196" s="293"/>
      <c r="AJ196" s="293"/>
      <c r="AK196" s="293"/>
      <c r="AL196" s="293"/>
      <c r="AM196" s="293"/>
      <c r="AN196" s="293"/>
      <c r="AO196" s="293"/>
      <c r="AP196" s="293"/>
      <c r="AQ196" s="293"/>
      <c r="AR196" s="293"/>
      <c r="AS196" s="293"/>
      <c r="AT196" s="293"/>
      <c r="AU196" s="293"/>
      <c r="AV196" s="293"/>
      <c r="AW196" s="293"/>
      <c r="AX196" s="293"/>
      <c r="AY196" s="293"/>
      <c r="AZ196" s="293"/>
      <c r="BA196" s="293"/>
      <c r="BB196" s="293"/>
      <c r="BC196" s="293"/>
      <c r="BD196" s="293"/>
      <c r="BE196" s="293"/>
      <c r="BF196" s="293"/>
      <c r="BG196" s="293"/>
      <c r="BH196" s="293"/>
      <c r="BI196" s="293"/>
      <c r="BJ196" s="293"/>
      <c r="BK196" s="293"/>
      <c r="BL196" s="293"/>
      <c r="BM196" s="293"/>
      <c r="BN196" s="293"/>
      <c r="BO196" s="293"/>
      <c r="BP196" s="293"/>
      <c r="BQ196" s="293"/>
      <c r="BR196" s="293"/>
      <c r="BS196" s="293"/>
      <c r="BT196" s="293"/>
      <c r="BU196" s="293"/>
      <c r="BV196" s="293"/>
      <c r="BW196" s="293"/>
      <c r="BX196" s="293"/>
      <c r="BY196" s="293"/>
      <c r="BZ196" s="293"/>
      <c r="CA196" s="293"/>
      <c r="CB196" s="293"/>
      <c r="CC196" s="293"/>
      <c r="CD196" s="293"/>
      <c r="CE196" s="293"/>
      <c r="CF196" s="293"/>
      <c r="CG196" s="293"/>
      <c r="CH196" s="293"/>
      <c r="CI196" s="293"/>
      <c r="CJ196" s="293"/>
      <c r="CK196" s="293"/>
      <c r="CL196" s="293"/>
      <c r="CM196" s="293"/>
      <c r="CN196" s="293"/>
      <c r="CO196" s="293"/>
      <c r="CP196" s="293"/>
      <c r="CQ196" s="293"/>
      <c r="CR196" s="293"/>
      <c r="CS196" s="293"/>
      <c r="CT196" s="293"/>
      <c r="CU196" s="293"/>
      <c r="CV196" s="293"/>
      <c r="CW196" s="293"/>
      <c r="CX196" s="293"/>
      <c r="CY196" s="293"/>
    </row>
    <row r="197" spans="1:103" outlineLevel="1" x14ac:dyDescent="0.25">
      <c r="A197" s="358" t="s">
        <v>160</v>
      </c>
      <c r="B197" s="475" t="s">
        <v>840</v>
      </c>
      <c r="C197" s="431">
        <f>6112.78-5436.49</f>
        <v>676.29</v>
      </c>
      <c r="D197" s="119">
        <v>1300</v>
      </c>
      <c r="E197" s="110">
        <v>2217.9299999999998</v>
      </c>
      <c r="F197" s="119"/>
      <c r="G197" s="294"/>
      <c r="H197" s="490">
        <f t="shared" si="79"/>
        <v>0</v>
      </c>
      <c r="I197" s="290"/>
      <c r="J197" s="119">
        <f t="shared" si="81"/>
        <v>1300</v>
      </c>
      <c r="K197" s="290"/>
      <c r="L197" s="290">
        <f t="shared" si="77"/>
        <v>0</v>
      </c>
      <c r="M197" s="354"/>
      <c r="N197" s="353"/>
      <c r="O197" s="431"/>
      <c r="P197" s="119"/>
      <c r="Q197" s="119"/>
      <c r="R197" s="119"/>
      <c r="S197" s="119"/>
      <c r="T197" s="119"/>
      <c r="U197" s="119"/>
      <c r="V197" s="119">
        <v>1300</v>
      </c>
      <c r="W197" s="356"/>
      <c r="X197" s="290"/>
      <c r="Y197" s="119"/>
      <c r="Z197" s="119"/>
      <c r="AA197" s="119"/>
      <c r="AB197" s="119"/>
      <c r="AC197" s="119"/>
      <c r="AD197" s="119"/>
      <c r="AE197" s="355"/>
      <c r="AF197" s="356"/>
    </row>
    <row r="198" spans="1:103" outlineLevel="1" x14ac:dyDescent="0.25">
      <c r="A198" s="352" t="s">
        <v>161</v>
      </c>
      <c r="B198" s="475" t="s">
        <v>841</v>
      </c>
      <c r="C198" s="431">
        <v>0</v>
      </c>
      <c r="D198" s="119"/>
      <c r="E198" s="110">
        <v>3725.33</v>
      </c>
      <c r="F198" s="119"/>
      <c r="G198" s="294"/>
      <c r="H198" s="490"/>
      <c r="I198" s="290"/>
      <c r="J198" s="119">
        <f t="shared" si="81"/>
        <v>0</v>
      </c>
      <c r="K198" s="290"/>
      <c r="L198" s="290">
        <f t="shared" si="77"/>
        <v>0</v>
      </c>
      <c r="M198" s="354"/>
      <c r="N198" s="353"/>
      <c r="O198" s="431"/>
      <c r="P198" s="119"/>
      <c r="Q198" s="119"/>
      <c r="R198" s="119"/>
      <c r="S198" s="119"/>
      <c r="T198" s="119"/>
      <c r="U198" s="119"/>
      <c r="V198" s="119"/>
      <c r="W198" s="356"/>
      <c r="X198" s="290"/>
      <c r="Y198" s="119"/>
      <c r="Z198" s="119"/>
      <c r="AA198" s="119"/>
      <c r="AB198" s="119"/>
      <c r="AC198" s="119"/>
      <c r="AD198" s="119"/>
      <c r="AE198" s="355"/>
      <c r="AF198" s="356"/>
    </row>
    <row r="199" spans="1:103" outlineLevel="1" x14ac:dyDescent="0.25">
      <c r="A199" s="352" t="s">
        <v>162</v>
      </c>
      <c r="B199" s="475" t="s">
        <v>842</v>
      </c>
      <c r="C199" s="431">
        <v>50</v>
      </c>
      <c r="D199" s="119"/>
      <c r="E199" s="110">
        <v>360</v>
      </c>
      <c r="F199" s="119"/>
      <c r="G199" s="294"/>
      <c r="H199" s="490">
        <f>+F199/C199</f>
        <v>0</v>
      </c>
      <c r="I199" s="290"/>
      <c r="J199" s="119">
        <f t="shared" si="81"/>
        <v>0</v>
      </c>
      <c r="K199" s="290"/>
      <c r="L199" s="290">
        <f t="shared" si="77"/>
        <v>0</v>
      </c>
      <c r="M199" s="354"/>
      <c r="N199" s="353"/>
      <c r="O199" s="431"/>
      <c r="P199" s="119"/>
      <c r="Q199" s="119"/>
      <c r="R199" s="119"/>
      <c r="S199" s="119"/>
      <c r="T199" s="119"/>
      <c r="U199" s="119"/>
      <c r="V199" s="119"/>
      <c r="W199" s="356"/>
      <c r="X199" s="290"/>
      <c r="Y199" s="119"/>
      <c r="Z199" s="119"/>
      <c r="AA199" s="119"/>
      <c r="AB199" s="119"/>
      <c r="AC199" s="119"/>
      <c r="AD199" s="119"/>
      <c r="AE199" s="355"/>
      <c r="AF199" s="356"/>
    </row>
    <row r="200" spans="1:103" outlineLevel="1" x14ac:dyDescent="0.25">
      <c r="A200" s="352" t="s">
        <v>163</v>
      </c>
      <c r="B200" s="475" t="s">
        <v>1168</v>
      </c>
      <c r="C200" s="431"/>
      <c r="D200" s="119"/>
      <c r="E200" s="110">
        <v>2275.13</v>
      </c>
      <c r="F200" s="119">
        <f>+L200</f>
        <v>1300</v>
      </c>
      <c r="G200" s="294">
        <f t="shared" si="68"/>
        <v>0</v>
      </c>
      <c r="H200" s="490"/>
      <c r="I200" s="290"/>
      <c r="J200" s="119">
        <f t="shared" si="81"/>
        <v>0</v>
      </c>
      <c r="K200" s="290"/>
      <c r="L200" s="290">
        <f t="shared" si="77"/>
        <v>1300</v>
      </c>
      <c r="M200" s="354">
        <f>+J200/L200</f>
        <v>0</v>
      </c>
      <c r="N200" s="353"/>
      <c r="O200" s="431"/>
      <c r="P200" s="119"/>
      <c r="Q200" s="119"/>
      <c r="R200" s="119"/>
      <c r="S200" s="119"/>
      <c r="T200" s="119"/>
      <c r="U200" s="119"/>
      <c r="V200" s="119"/>
      <c r="W200" s="356"/>
      <c r="X200" s="290"/>
      <c r="Y200" s="119"/>
      <c r="Z200" s="119"/>
      <c r="AA200" s="119"/>
      <c r="AB200" s="119"/>
      <c r="AC200" s="119"/>
      <c r="AD200" s="119"/>
      <c r="AE200" s="355">
        <v>1300</v>
      </c>
      <c r="AF200" s="356"/>
    </row>
    <row r="201" spans="1:103" outlineLevel="1" x14ac:dyDescent="0.25">
      <c r="A201" s="352" t="s">
        <v>164</v>
      </c>
      <c r="B201" s="475" t="s">
        <v>1167</v>
      </c>
      <c r="C201" s="431"/>
      <c r="D201" s="119"/>
      <c r="E201" s="110">
        <v>1144.04</v>
      </c>
      <c r="F201" s="119">
        <f t="shared" ref="F201:F208" si="89">+L201</f>
        <v>1300</v>
      </c>
      <c r="G201" s="294">
        <f t="shared" si="68"/>
        <v>0</v>
      </c>
      <c r="H201" s="490"/>
      <c r="I201" s="290"/>
      <c r="J201" s="119">
        <f t="shared" si="81"/>
        <v>0</v>
      </c>
      <c r="K201" s="290"/>
      <c r="L201" s="290">
        <f t="shared" si="77"/>
        <v>1300</v>
      </c>
      <c r="M201" s="354">
        <f>+J201/L201</f>
        <v>0</v>
      </c>
      <c r="N201" s="353"/>
      <c r="O201" s="431"/>
      <c r="P201" s="119"/>
      <c r="Q201" s="119"/>
      <c r="R201" s="119"/>
      <c r="S201" s="119"/>
      <c r="T201" s="119"/>
      <c r="U201" s="119"/>
      <c r="V201" s="119"/>
      <c r="W201" s="356"/>
      <c r="X201" s="290"/>
      <c r="Y201" s="119"/>
      <c r="Z201" s="119"/>
      <c r="AA201" s="119"/>
      <c r="AB201" s="119"/>
      <c r="AC201" s="119"/>
      <c r="AD201" s="119"/>
      <c r="AE201" s="355">
        <v>1300</v>
      </c>
      <c r="AF201" s="356"/>
    </row>
    <row r="202" spans="1:103" outlineLevel="1" x14ac:dyDescent="0.25">
      <c r="A202" s="352" t="s">
        <v>1169</v>
      </c>
      <c r="B202" s="475" t="s">
        <v>1173</v>
      </c>
      <c r="C202" s="431"/>
      <c r="D202" s="119"/>
      <c r="E202" s="110">
        <v>1088</v>
      </c>
      <c r="F202" s="119">
        <f t="shared" si="89"/>
        <v>1300</v>
      </c>
      <c r="G202" s="294">
        <f t="shared" si="68"/>
        <v>0</v>
      </c>
      <c r="H202" s="490"/>
      <c r="I202" s="290"/>
      <c r="J202" s="119">
        <f t="shared" si="81"/>
        <v>0</v>
      </c>
      <c r="K202" s="290"/>
      <c r="L202" s="290">
        <f t="shared" si="77"/>
        <v>1300</v>
      </c>
      <c r="M202" s="354">
        <f>+J202/L202</f>
        <v>0</v>
      </c>
      <c r="N202" s="353"/>
      <c r="O202" s="431"/>
      <c r="P202" s="119"/>
      <c r="Q202" s="119"/>
      <c r="R202" s="119"/>
      <c r="S202" s="119"/>
      <c r="T202" s="119"/>
      <c r="U202" s="119"/>
      <c r="V202" s="119"/>
      <c r="W202" s="356"/>
      <c r="X202" s="290"/>
      <c r="Y202" s="290"/>
      <c r="Z202" s="290"/>
      <c r="AA202" s="290"/>
      <c r="AB202" s="290"/>
      <c r="AC202" s="290"/>
      <c r="AD202" s="290"/>
      <c r="AE202" s="364">
        <v>1300</v>
      </c>
      <c r="AF202" s="362"/>
    </row>
    <row r="203" spans="1:103" outlineLevel="1" x14ac:dyDescent="0.25">
      <c r="A203" s="352" t="s">
        <v>1170</v>
      </c>
      <c r="B203" s="475" t="s">
        <v>1174</v>
      </c>
      <c r="C203" s="431">
        <v>146.16999999999999</v>
      </c>
      <c r="D203" s="119">
        <v>1300</v>
      </c>
      <c r="E203" s="110"/>
      <c r="F203" s="119"/>
      <c r="G203" s="294"/>
      <c r="H203" s="490">
        <f>+F203/C203</f>
        <v>0</v>
      </c>
      <c r="I203" s="290"/>
      <c r="J203" s="119">
        <f t="shared" si="81"/>
        <v>1300</v>
      </c>
      <c r="K203" s="290"/>
      <c r="L203" s="290"/>
      <c r="M203" s="354"/>
      <c r="N203" s="353"/>
      <c r="O203" s="431"/>
      <c r="P203" s="119"/>
      <c r="Q203" s="119"/>
      <c r="R203" s="119"/>
      <c r="S203" s="119"/>
      <c r="T203" s="119"/>
      <c r="U203" s="119"/>
      <c r="V203" s="119">
        <v>1300</v>
      </c>
      <c r="W203" s="356"/>
      <c r="X203" s="290"/>
      <c r="Y203" s="290"/>
      <c r="Z203" s="290"/>
      <c r="AA203" s="290"/>
      <c r="AB203" s="290"/>
      <c r="AC203" s="290"/>
      <c r="AD203" s="290"/>
      <c r="AE203" s="364"/>
      <c r="AF203" s="362"/>
    </row>
    <row r="204" spans="1:103" outlineLevel="1" x14ac:dyDescent="0.25">
      <c r="A204" s="352" t="s">
        <v>1171</v>
      </c>
      <c r="B204" s="475" t="s">
        <v>1175</v>
      </c>
      <c r="C204" s="431">
        <v>146.16999999999999</v>
      </c>
      <c r="D204" s="119">
        <v>1300</v>
      </c>
      <c r="E204" s="110"/>
      <c r="F204" s="119"/>
      <c r="G204" s="294"/>
      <c r="H204" s="490">
        <f>+F204/C204</f>
        <v>0</v>
      </c>
      <c r="I204" s="290"/>
      <c r="J204" s="119">
        <f t="shared" si="81"/>
        <v>1300</v>
      </c>
      <c r="K204" s="290"/>
      <c r="L204" s="290"/>
      <c r="M204" s="354"/>
      <c r="N204" s="353"/>
      <c r="O204" s="431"/>
      <c r="P204" s="119"/>
      <c r="Q204" s="119"/>
      <c r="R204" s="119"/>
      <c r="S204" s="119"/>
      <c r="T204" s="119"/>
      <c r="U204" s="119"/>
      <c r="V204" s="119">
        <v>1300</v>
      </c>
      <c r="W204" s="356"/>
      <c r="X204" s="290"/>
      <c r="Y204" s="290"/>
      <c r="Z204" s="290"/>
      <c r="AA204" s="290"/>
      <c r="AB204" s="290"/>
      <c r="AC204" s="290"/>
      <c r="AD204" s="290"/>
      <c r="AE204" s="364"/>
      <c r="AF204" s="362"/>
    </row>
    <row r="205" spans="1:103" outlineLevel="1" x14ac:dyDescent="0.25">
      <c r="A205" s="352" t="s">
        <v>1172</v>
      </c>
      <c r="B205" s="475" t="s">
        <v>1216</v>
      </c>
      <c r="C205" s="431">
        <f>865.17-865.17</f>
        <v>0</v>
      </c>
      <c r="D205" s="119">
        <v>1300</v>
      </c>
      <c r="E205" s="110"/>
      <c r="F205" s="119">
        <f t="shared" si="89"/>
        <v>1300</v>
      </c>
      <c r="G205" s="294">
        <f t="shared" si="68"/>
        <v>1</v>
      </c>
      <c r="H205" s="490"/>
      <c r="I205" s="290"/>
      <c r="J205" s="119">
        <f t="shared" si="81"/>
        <v>1300</v>
      </c>
      <c r="K205" s="290"/>
      <c r="L205" s="290">
        <f t="shared" si="77"/>
        <v>1300</v>
      </c>
      <c r="M205" s="354">
        <f>+J205/L205</f>
        <v>1</v>
      </c>
      <c r="N205" s="353"/>
      <c r="O205" s="431"/>
      <c r="P205" s="119"/>
      <c r="Q205" s="119"/>
      <c r="R205" s="119"/>
      <c r="S205" s="119"/>
      <c r="T205" s="119"/>
      <c r="U205" s="119"/>
      <c r="V205" s="119">
        <v>1300</v>
      </c>
      <c r="W205" s="356"/>
      <c r="X205" s="290"/>
      <c r="Y205" s="290"/>
      <c r="Z205" s="290"/>
      <c r="AA205" s="290"/>
      <c r="AB205" s="290"/>
      <c r="AC205" s="290"/>
      <c r="AD205" s="290"/>
      <c r="AE205" s="364">
        <v>1300</v>
      </c>
      <c r="AF205" s="362"/>
    </row>
    <row r="206" spans="1:103" outlineLevel="1" x14ac:dyDescent="0.25">
      <c r="A206" s="352" t="s">
        <v>1281</v>
      </c>
      <c r="B206" s="475" t="s">
        <v>1217</v>
      </c>
      <c r="C206" s="431"/>
      <c r="D206" s="119">
        <v>1300</v>
      </c>
      <c r="E206" s="110"/>
      <c r="F206" s="119">
        <f t="shared" si="89"/>
        <v>1300</v>
      </c>
      <c r="G206" s="294">
        <f t="shared" si="68"/>
        <v>1</v>
      </c>
      <c r="H206" s="490"/>
      <c r="I206" s="290"/>
      <c r="J206" s="119">
        <f t="shared" si="81"/>
        <v>1300</v>
      </c>
      <c r="K206" s="290"/>
      <c r="L206" s="290">
        <f t="shared" si="77"/>
        <v>1300</v>
      </c>
      <c r="M206" s="354">
        <f>+J206/L206</f>
        <v>1</v>
      </c>
      <c r="N206" s="353"/>
      <c r="O206" s="431"/>
      <c r="P206" s="119"/>
      <c r="Q206" s="119"/>
      <c r="R206" s="119"/>
      <c r="S206" s="119"/>
      <c r="T206" s="119"/>
      <c r="U206" s="119"/>
      <c r="V206" s="119">
        <v>1300</v>
      </c>
      <c r="W206" s="356"/>
      <c r="X206" s="290"/>
      <c r="Y206" s="290"/>
      <c r="Z206" s="290"/>
      <c r="AA206" s="290"/>
      <c r="AB206" s="290"/>
      <c r="AC206" s="290"/>
      <c r="AD206" s="290"/>
      <c r="AE206" s="364">
        <v>1300</v>
      </c>
      <c r="AF206" s="362"/>
    </row>
    <row r="207" spans="1:103" outlineLevel="1" x14ac:dyDescent="0.25">
      <c r="A207" s="352" t="s">
        <v>1282</v>
      </c>
      <c r="B207" s="475" t="s">
        <v>1336</v>
      </c>
      <c r="C207" s="431"/>
      <c r="D207" s="119">
        <v>1300</v>
      </c>
      <c r="E207" s="110"/>
      <c r="F207" s="119">
        <f t="shared" si="89"/>
        <v>1300</v>
      </c>
      <c r="G207" s="294">
        <f t="shared" si="68"/>
        <v>1</v>
      </c>
      <c r="H207" s="490"/>
      <c r="I207" s="290"/>
      <c r="J207" s="119">
        <f t="shared" si="81"/>
        <v>1300</v>
      </c>
      <c r="K207" s="290"/>
      <c r="L207" s="290">
        <f t="shared" si="77"/>
        <v>1300</v>
      </c>
      <c r="M207" s="354">
        <f>+J207/L207</f>
        <v>1</v>
      </c>
      <c r="N207" s="353"/>
      <c r="O207" s="431"/>
      <c r="P207" s="119"/>
      <c r="Q207" s="119"/>
      <c r="R207" s="119"/>
      <c r="S207" s="119"/>
      <c r="T207" s="119"/>
      <c r="U207" s="119"/>
      <c r="V207" s="119">
        <v>1300</v>
      </c>
      <c r="W207" s="356"/>
      <c r="X207" s="290"/>
      <c r="Y207" s="290"/>
      <c r="Z207" s="290"/>
      <c r="AA207" s="290"/>
      <c r="AB207" s="290"/>
      <c r="AC207" s="290"/>
      <c r="AD207" s="290"/>
      <c r="AE207" s="364">
        <v>1300</v>
      </c>
      <c r="AF207" s="362"/>
    </row>
    <row r="208" spans="1:103" outlineLevel="1" x14ac:dyDescent="0.25">
      <c r="A208" s="352" t="s">
        <v>1283</v>
      </c>
      <c r="B208" s="475" t="s">
        <v>1218</v>
      </c>
      <c r="C208" s="431"/>
      <c r="D208" s="119">
        <v>1300</v>
      </c>
      <c r="E208" s="110"/>
      <c r="F208" s="119">
        <f t="shared" si="89"/>
        <v>1300</v>
      </c>
      <c r="G208" s="294">
        <f t="shared" si="68"/>
        <v>1</v>
      </c>
      <c r="H208" s="490"/>
      <c r="I208" s="290"/>
      <c r="J208" s="119">
        <f t="shared" si="81"/>
        <v>1300</v>
      </c>
      <c r="K208" s="290"/>
      <c r="L208" s="290">
        <f t="shared" si="77"/>
        <v>1300</v>
      </c>
      <c r="M208" s="354">
        <f>+J208/L208</f>
        <v>1</v>
      </c>
      <c r="N208" s="353"/>
      <c r="O208" s="431"/>
      <c r="P208" s="119"/>
      <c r="Q208" s="119"/>
      <c r="R208" s="119"/>
      <c r="S208" s="119"/>
      <c r="T208" s="119"/>
      <c r="U208" s="119"/>
      <c r="V208" s="119">
        <v>1300</v>
      </c>
      <c r="W208" s="356"/>
      <c r="X208" s="290"/>
      <c r="Y208" s="290"/>
      <c r="Z208" s="290"/>
      <c r="AA208" s="290"/>
      <c r="AB208" s="290"/>
      <c r="AC208" s="290"/>
      <c r="AD208" s="290"/>
      <c r="AE208" s="364">
        <v>1300</v>
      </c>
      <c r="AF208" s="362"/>
    </row>
    <row r="209" spans="1:103" outlineLevel="1" x14ac:dyDescent="0.25">
      <c r="A209" s="515" t="s">
        <v>1415</v>
      </c>
      <c r="B209" s="516" t="s">
        <v>1416</v>
      </c>
      <c r="C209" s="431"/>
      <c r="D209" s="119">
        <v>1300</v>
      </c>
      <c r="E209" s="110"/>
      <c r="F209" s="119"/>
      <c r="G209" s="294"/>
      <c r="H209" s="490"/>
      <c r="I209" s="290"/>
      <c r="J209" s="119">
        <f t="shared" si="81"/>
        <v>1300</v>
      </c>
      <c r="K209" s="290"/>
      <c r="L209" s="290"/>
      <c r="M209" s="354"/>
      <c r="N209" s="353"/>
      <c r="O209" s="431"/>
      <c r="P209" s="119"/>
      <c r="Q209" s="119"/>
      <c r="R209" s="119"/>
      <c r="S209" s="119"/>
      <c r="T209" s="119"/>
      <c r="U209" s="119"/>
      <c r="V209" s="119">
        <v>1300</v>
      </c>
      <c r="W209" s="356"/>
      <c r="X209" s="290"/>
      <c r="Y209" s="290"/>
      <c r="Z209" s="290"/>
      <c r="AA209" s="290"/>
      <c r="AB209" s="290"/>
      <c r="AC209" s="290"/>
      <c r="AD209" s="290"/>
      <c r="AE209" s="364"/>
      <c r="AF209" s="362"/>
    </row>
    <row r="210" spans="1:103" outlineLevel="1" x14ac:dyDescent="0.25">
      <c r="A210" s="515" t="s">
        <v>1418</v>
      </c>
      <c r="B210" s="516" t="s">
        <v>1417</v>
      </c>
      <c r="C210" s="431"/>
      <c r="D210" s="119">
        <v>1300</v>
      </c>
      <c r="E210" s="110"/>
      <c r="F210" s="119"/>
      <c r="G210" s="294"/>
      <c r="H210" s="490"/>
      <c r="I210" s="290"/>
      <c r="J210" s="119">
        <f t="shared" si="81"/>
        <v>1300</v>
      </c>
      <c r="K210" s="290"/>
      <c r="L210" s="290"/>
      <c r="M210" s="354"/>
      <c r="N210" s="353"/>
      <c r="O210" s="431"/>
      <c r="P210" s="119"/>
      <c r="Q210" s="119"/>
      <c r="R210" s="119"/>
      <c r="S210" s="119"/>
      <c r="T210" s="119"/>
      <c r="U210" s="119"/>
      <c r="V210" s="119">
        <v>1300</v>
      </c>
      <c r="W210" s="356"/>
      <c r="X210" s="290"/>
      <c r="Y210" s="290"/>
      <c r="Z210" s="290"/>
      <c r="AA210" s="290"/>
      <c r="AB210" s="290"/>
      <c r="AC210" s="290"/>
      <c r="AD210" s="290"/>
      <c r="AE210" s="364"/>
      <c r="AF210" s="362"/>
    </row>
    <row r="211" spans="1:103" outlineLevel="1" x14ac:dyDescent="0.25">
      <c r="A211" s="352" t="s">
        <v>1284</v>
      </c>
      <c r="B211" s="475" t="s">
        <v>47</v>
      </c>
      <c r="C211" s="431">
        <f>7341.48+18915.9+70164.18-56772.7+865.17-19.13</f>
        <v>40494.9</v>
      </c>
      <c r="D211" s="119"/>
      <c r="E211" s="110">
        <v>9410.11</v>
      </c>
      <c r="F211" s="119"/>
      <c r="G211" s="294"/>
      <c r="H211" s="490">
        <f>+F211/C211</f>
        <v>0</v>
      </c>
      <c r="I211" s="290"/>
      <c r="J211" s="119">
        <f t="shared" si="81"/>
        <v>0</v>
      </c>
      <c r="K211" s="290"/>
      <c r="L211" s="290"/>
      <c r="M211" s="354"/>
      <c r="N211" s="353"/>
      <c r="O211" s="431"/>
      <c r="P211" s="119"/>
      <c r="Q211" s="119"/>
      <c r="R211" s="119"/>
      <c r="S211" s="119"/>
      <c r="T211" s="119"/>
      <c r="U211" s="119"/>
      <c r="V211" s="119"/>
      <c r="W211" s="356"/>
      <c r="X211" s="290"/>
      <c r="Y211" s="290"/>
      <c r="Z211" s="290"/>
      <c r="AA211" s="290"/>
      <c r="AB211" s="290"/>
      <c r="AC211" s="290"/>
      <c r="AD211" s="290"/>
      <c r="AE211" s="364"/>
      <c r="AF211" s="362"/>
    </row>
    <row r="212" spans="1:103" s="351" customFormat="1" ht="15.75" x14ac:dyDescent="0.25">
      <c r="A212" s="345" t="s">
        <v>167</v>
      </c>
      <c r="B212" s="474" t="s">
        <v>313</v>
      </c>
      <c r="C212" s="430">
        <f>SUM(C213:C226)</f>
        <v>25468.579999999998</v>
      </c>
      <c r="D212" s="455">
        <f>SUM(D213:D226)</f>
        <v>51400</v>
      </c>
      <c r="E212" s="274">
        <f>SUM(E213:E226)</f>
        <v>14891.49</v>
      </c>
      <c r="F212" s="455">
        <f>SUM(F213:F226)</f>
        <v>69800</v>
      </c>
      <c r="G212" s="292">
        <f t="shared" si="68"/>
        <v>0.73638968481375355</v>
      </c>
      <c r="H212" s="489">
        <f>+F212/C212</f>
        <v>2.7406317902293731</v>
      </c>
      <c r="I212" s="349"/>
      <c r="J212" s="347">
        <f>SUM(J213:J226)</f>
        <v>51400</v>
      </c>
      <c r="K212" s="291"/>
      <c r="L212" s="291">
        <f t="shared" si="77"/>
        <v>69800</v>
      </c>
      <c r="M212" s="348">
        <f>+J212/L212</f>
        <v>0.73638968481375355</v>
      </c>
      <c r="N212" s="392"/>
      <c r="O212" s="430">
        <f>SUM(O213:O226)</f>
        <v>0</v>
      </c>
      <c r="P212" s="455">
        <f t="shared" ref="P212:W212" si="90">SUM(P213:P226)</f>
        <v>0</v>
      </c>
      <c r="Q212" s="455">
        <f t="shared" si="90"/>
        <v>4756</v>
      </c>
      <c r="R212" s="455">
        <f t="shared" si="90"/>
        <v>0</v>
      </c>
      <c r="S212" s="455">
        <f t="shared" si="90"/>
        <v>0</v>
      </c>
      <c r="T212" s="455">
        <f t="shared" si="90"/>
        <v>0</v>
      </c>
      <c r="U212" s="455">
        <f t="shared" si="90"/>
        <v>0</v>
      </c>
      <c r="V212" s="455">
        <f t="shared" si="90"/>
        <v>46644</v>
      </c>
      <c r="W212" s="350">
        <f t="shared" si="90"/>
        <v>0</v>
      </c>
      <c r="X212" s="349">
        <f t="shared" ref="X212:AF212" si="91">SUM(X213:X226)</f>
        <v>0</v>
      </c>
      <c r="Y212" s="349">
        <f t="shared" si="91"/>
        <v>0</v>
      </c>
      <c r="Z212" s="349">
        <f t="shared" si="91"/>
        <v>4756</v>
      </c>
      <c r="AA212" s="349">
        <f t="shared" si="91"/>
        <v>0</v>
      </c>
      <c r="AB212" s="349">
        <f t="shared" si="91"/>
        <v>0</v>
      </c>
      <c r="AC212" s="349">
        <f t="shared" si="91"/>
        <v>0</v>
      </c>
      <c r="AD212" s="349">
        <f t="shared" si="91"/>
        <v>0</v>
      </c>
      <c r="AE212" s="349">
        <f t="shared" si="91"/>
        <v>65044</v>
      </c>
      <c r="AF212" s="359">
        <f t="shared" si="91"/>
        <v>0</v>
      </c>
      <c r="AG212" s="293"/>
      <c r="AH212" s="293"/>
      <c r="AI212" s="293"/>
      <c r="AJ212" s="293"/>
      <c r="AK212" s="293"/>
      <c r="AL212" s="293"/>
      <c r="AM212" s="293"/>
      <c r="AN212" s="293"/>
      <c r="AO212" s="293"/>
      <c r="AP212" s="293"/>
      <c r="AQ212" s="293"/>
      <c r="AR212" s="293"/>
      <c r="AS212" s="293"/>
      <c r="AT212" s="293"/>
      <c r="AU212" s="293"/>
      <c r="AV212" s="293"/>
      <c r="AW212" s="293"/>
      <c r="AX212" s="293"/>
      <c r="AY212" s="293"/>
      <c r="AZ212" s="293"/>
      <c r="BA212" s="293"/>
      <c r="BB212" s="293"/>
      <c r="BC212" s="293"/>
      <c r="BD212" s="293"/>
      <c r="BE212" s="293"/>
      <c r="BF212" s="293"/>
      <c r="BG212" s="293"/>
      <c r="BH212" s="293"/>
      <c r="BI212" s="293"/>
      <c r="BJ212" s="293"/>
      <c r="BK212" s="293"/>
      <c r="BL212" s="293"/>
      <c r="BM212" s="293"/>
      <c r="BN212" s="293"/>
      <c r="BO212" s="293"/>
      <c r="BP212" s="293"/>
      <c r="BQ212" s="293"/>
      <c r="BR212" s="293"/>
      <c r="BS212" s="293"/>
      <c r="BT212" s="293"/>
      <c r="BU212" s="293"/>
      <c r="BV212" s="293"/>
      <c r="BW212" s="293"/>
      <c r="BX212" s="293"/>
      <c r="BY212" s="293"/>
      <c r="BZ212" s="293"/>
      <c r="CA212" s="293"/>
      <c r="CB212" s="293"/>
      <c r="CC212" s="293"/>
      <c r="CD212" s="293"/>
      <c r="CE212" s="293"/>
      <c r="CF212" s="293"/>
      <c r="CG212" s="293"/>
      <c r="CH212" s="293"/>
      <c r="CI212" s="293"/>
      <c r="CJ212" s="293"/>
      <c r="CK212" s="293"/>
      <c r="CL212" s="293"/>
      <c r="CM212" s="293"/>
      <c r="CN212" s="293"/>
      <c r="CO212" s="293"/>
      <c r="CP212" s="293"/>
      <c r="CQ212" s="293"/>
      <c r="CR212" s="293"/>
      <c r="CS212" s="293"/>
      <c r="CT212" s="293"/>
      <c r="CU212" s="293"/>
      <c r="CV212" s="293"/>
      <c r="CW212" s="293"/>
      <c r="CX212" s="293"/>
      <c r="CY212" s="293"/>
    </row>
    <row r="213" spans="1:103" outlineLevel="1" x14ac:dyDescent="0.25">
      <c r="A213" s="352" t="s">
        <v>168</v>
      </c>
      <c r="B213" s="475" t="s">
        <v>1208</v>
      </c>
      <c r="C213" s="431"/>
      <c r="D213" s="119"/>
      <c r="E213" s="110">
        <f>9415.06-8232.67</f>
        <v>1182.3899999999994</v>
      </c>
      <c r="F213" s="119">
        <f>+L213</f>
        <v>13000</v>
      </c>
      <c r="G213" s="294">
        <f t="shared" si="68"/>
        <v>0</v>
      </c>
      <c r="H213" s="490"/>
      <c r="I213" s="290"/>
      <c r="J213" s="119">
        <f t="shared" si="81"/>
        <v>0</v>
      </c>
      <c r="K213" s="290"/>
      <c r="L213" s="290">
        <f t="shared" si="77"/>
        <v>13000</v>
      </c>
      <c r="M213" s="354">
        <f>+J213/L213</f>
        <v>0</v>
      </c>
      <c r="N213" s="353"/>
      <c r="O213" s="431"/>
      <c r="P213" s="119"/>
      <c r="Q213" s="119"/>
      <c r="R213" s="119"/>
      <c r="S213" s="119"/>
      <c r="T213" s="119"/>
      <c r="U213" s="119"/>
      <c r="V213" s="119"/>
      <c r="W213" s="356"/>
      <c r="X213" s="290"/>
      <c r="Y213" s="119"/>
      <c r="Z213" s="119"/>
      <c r="AA213" s="119"/>
      <c r="AB213" s="119"/>
      <c r="AC213" s="119"/>
      <c r="AD213" s="119"/>
      <c r="AE213" s="355">
        <v>13000</v>
      </c>
      <c r="AF213" s="356"/>
    </row>
    <row r="214" spans="1:103" outlineLevel="1" x14ac:dyDescent="0.25">
      <c r="A214" s="352" t="s">
        <v>169</v>
      </c>
      <c r="B214" s="475" t="s">
        <v>1209</v>
      </c>
      <c r="C214" s="431"/>
      <c r="D214" s="119">
        <v>13000</v>
      </c>
      <c r="E214" s="110"/>
      <c r="F214" s="119">
        <f t="shared" ref="F214:F224" si="92">+L214</f>
        <v>13000</v>
      </c>
      <c r="G214" s="294">
        <f t="shared" si="68"/>
        <v>1</v>
      </c>
      <c r="H214" s="490"/>
      <c r="I214" s="290"/>
      <c r="J214" s="119">
        <f t="shared" si="81"/>
        <v>13000</v>
      </c>
      <c r="K214" s="290"/>
      <c r="L214" s="290">
        <f t="shared" si="77"/>
        <v>13000</v>
      </c>
      <c r="M214" s="354">
        <f>+J214/L214</f>
        <v>1</v>
      </c>
      <c r="N214" s="353"/>
      <c r="O214" s="431"/>
      <c r="P214" s="119"/>
      <c r="Q214" s="119"/>
      <c r="R214" s="119"/>
      <c r="S214" s="119"/>
      <c r="T214" s="119"/>
      <c r="U214" s="119"/>
      <c r="V214" s="119">
        <v>13000</v>
      </c>
      <c r="W214" s="356"/>
      <c r="X214" s="290"/>
      <c r="Y214" s="119"/>
      <c r="Z214" s="119"/>
      <c r="AA214" s="119"/>
      <c r="AB214" s="119"/>
      <c r="AC214" s="119"/>
      <c r="AD214" s="119"/>
      <c r="AE214" s="355">
        <v>13000</v>
      </c>
      <c r="AF214" s="356"/>
    </row>
    <row r="215" spans="1:103" outlineLevel="1" x14ac:dyDescent="0.25">
      <c r="A215" s="352" t="s">
        <v>170</v>
      </c>
      <c r="B215" s="475" t="s">
        <v>846</v>
      </c>
      <c r="C215" s="431">
        <v>0</v>
      </c>
      <c r="D215" s="119"/>
      <c r="E215" s="110">
        <v>582</v>
      </c>
      <c r="F215" s="119">
        <f t="shared" si="92"/>
        <v>0</v>
      </c>
      <c r="G215" s="294"/>
      <c r="H215" s="490"/>
      <c r="I215" s="290"/>
      <c r="J215" s="119">
        <f t="shared" si="81"/>
        <v>0</v>
      </c>
      <c r="K215" s="290"/>
      <c r="L215" s="290">
        <f t="shared" si="77"/>
        <v>0</v>
      </c>
      <c r="M215" s="354"/>
      <c r="N215" s="353"/>
      <c r="O215" s="431"/>
      <c r="P215" s="119"/>
      <c r="Q215" s="119"/>
      <c r="R215" s="119"/>
      <c r="S215" s="119"/>
      <c r="T215" s="119"/>
      <c r="U215" s="119"/>
      <c r="V215" s="119"/>
      <c r="W215" s="356"/>
      <c r="X215" s="290"/>
      <c r="Y215" s="119"/>
      <c r="Z215" s="119"/>
      <c r="AA215" s="119"/>
      <c r="AB215" s="119"/>
      <c r="AC215" s="119"/>
      <c r="AD215" s="119"/>
      <c r="AE215" s="355"/>
      <c r="AF215" s="356"/>
    </row>
    <row r="216" spans="1:103" outlineLevel="1" x14ac:dyDescent="0.25">
      <c r="A216" s="352" t="s">
        <v>171</v>
      </c>
      <c r="B216" s="475" t="s">
        <v>1067</v>
      </c>
      <c r="C216" s="431">
        <f>6505.39-6493.03</f>
        <v>12.360000000000582</v>
      </c>
      <c r="D216" s="119"/>
      <c r="E216" s="110">
        <v>628</v>
      </c>
      <c r="F216" s="119">
        <f t="shared" si="92"/>
        <v>0</v>
      </c>
      <c r="G216" s="294"/>
      <c r="H216" s="490">
        <f>+F216/C216</f>
        <v>0</v>
      </c>
      <c r="I216" s="290"/>
      <c r="J216" s="119">
        <f t="shared" si="81"/>
        <v>0</v>
      </c>
      <c r="K216" s="290"/>
      <c r="L216" s="290">
        <f t="shared" si="77"/>
        <v>0</v>
      </c>
      <c r="M216" s="354"/>
      <c r="N216" s="353"/>
      <c r="O216" s="431"/>
      <c r="P216" s="119"/>
      <c r="Q216" s="119"/>
      <c r="R216" s="119"/>
      <c r="S216" s="119"/>
      <c r="T216" s="119"/>
      <c r="U216" s="119"/>
      <c r="V216" s="119"/>
      <c r="W216" s="356"/>
      <c r="X216" s="290"/>
      <c r="Y216" s="119"/>
      <c r="Z216" s="119"/>
      <c r="AA216" s="119"/>
      <c r="AB216" s="119"/>
      <c r="AC216" s="119"/>
      <c r="AD216" s="119"/>
      <c r="AE216" s="355"/>
      <c r="AF216" s="356"/>
    </row>
    <row r="217" spans="1:103" outlineLevel="1" x14ac:dyDescent="0.25">
      <c r="A217" s="352" t="s">
        <v>172</v>
      </c>
      <c r="B217" s="475" t="s">
        <v>1066</v>
      </c>
      <c r="C217" s="431">
        <f>6551.57-6901.72</f>
        <v>-350.15000000000055</v>
      </c>
      <c r="D217" s="119"/>
      <c r="E217" s="110">
        <v>691.98</v>
      </c>
      <c r="F217" s="119">
        <f t="shared" si="92"/>
        <v>0</v>
      </c>
      <c r="G217" s="294"/>
      <c r="H217" s="490">
        <f>+F217/C217</f>
        <v>0</v>
      </c>
      <c r="I217" s="290"/>
      <c r="J217" s="119">
        <f t="shared" si="81"/>
        <v>0</v>
      </c>
      <c r="K217" s="290"/>
      <c r="L217" s="290">
        <f t="shared" si="77"/>
        <v>0</v>
      </c>
      <c r="M217" s="354"/>
      <c r="N217" s="353"/>
      <c r="O217" s="431"/>
      <c r="P217" s="119"/>
      <c r="Q217" s="119"/>
      <c r="R217" s="119"/>
      <c r="S217" s="119"/>
      <c r="T217" s="119"/>
      <c r="U217" s="119"/>
      <c r="V217" s="119"/>
      <c r="W217" s="356"/>
      <c r="X217" s="290"/>
      <c r="Y217" s="119"/>
      <c r="Z217" s="119"/>
      <c r="AA217" s="119"/>
      <c r="AB217" s="119"/>
      <c r="AC217" s="119"/>
      <c r="AD217" s="119"/>
      <c r="AE217" s="355"/>
      <c r="AF217" s="356"/>
    </row>
    <row r="218" spans="1:103" outlineLevel="1" x14ac:dyDescent="0.25">
      <c r="A218" s="352" t="s">
        <v>1176</v>
      </c>
      <c r="B218" s="475" t="s">
        <v>1177</v>
      </c>
      <c r="C218" s="431"/>
      <c r="D218" s="119">
        <v>900</v>
      </c>
      <c r="E218" s="110"/>
      <c r="F218" s="119">
        <f t="shared" si="92"/>
        <v>900</v>
      </c>
      <c r="G218" s="294">
        <f t="shared" si="68"/>
        <v>1</v>
      </c>
      <c r="H218" s="490"/>
      <c r="I218" s="290"/>
      <c r="J218" s="119">
        <f t="shared" si="81"/>
        <v>900</v>
      </c>
      <c r="K218" s="290"/>
      <c r="L218" s="290">
        <f t="shared" si="77"/>
        <v>900</v>
      </c>
      <c r="M218" s="354">
        <f>+J218/L218</f>
        <v>1</v>
      </c>
      <c r="N218" s="353"/>
      <c r="O218" s="431"/>
      <c r="P218" s="119"/>
      <c r="Q218" s="119"/>
      <c r="R218" s="119"/>
      <c r="S218" s="119"/>
      <c r="T218" s="119"/>
      <c r="U218" s="119"/>
      <c r="V218" s="119">
        <v>900</v>
      </c>
      <c r="W218" s="356"/>
      <c r="X218" s="290"/>
      <c r="Y218" s="119"/>
      <c r="Z218" s="119"/>
      <c r="AA218" s="119"/>
      <c r="AB218" s="119"/>
      <c r="AC218" s="119"/>
      <c r="AD218" s="119"/>
      <c r="AE218" s="355">
        <v>900</v>
      </c>
      <c r="AF218" s="356"/>
    </row>
    <row r="219" spans="1:103" outlineLevel="1" x14ac:dyDescent="0.25">
      <c r="A219" s="352" t="s">
        <v>1285</v>
      </c>
      <c r="B219" s="475" t="s">
        <v>1207</v>
      </c>
      <c r="C219" s="431"/>
      <c r="D219" s="119">
        <v>5000</v>
      </c>
      <c r="E219" s="110">
        <v>0</v>
      </c>
      <c r="F219" s="119">
        <f t="shared" si="92"/>
        <v>13000</v>
      </c>
      <c r="G219" s="294">
        <f t="shared" si="68"/>
        <v>0.38461538461538464</v>
      </c>
      <c r="H219" s="490"/>
      <c r="I219" s="290"/>
      <c r="J219" s="119">
        <f t="shared" si="81"/>
        <v>5000</v>
      </c>
      <c r="K219" s="290"/>
      <c r="L219" s="290">
        <f t="shared" si="77"/>
        <v>13000</v>
      </c>
      <c r="M219" s="354">
        <f>+J219/L219</f>
        <v>0.38461538461538464</v>
      </c>
      <c r="N219" s="353"/>
      <c r="O219" s="431"/>
      <c r="P219" s="119"/>
      <c r="Q219" s="119"/>
      <c r="R219" s="119"/>
      <c r="S219" s="119"/>
      <c r="T219" s="119"/>
      <c r="U219" s="119"/>
      <c r="V219" s="119">
        <v>5000</v>
      </c>
      <c r="W219" s="356"/>
      <c r="X219" s="290"/>
      <c r="Y219" s="119"/>
      <c r="Z219" s="119"/>
      <c r="AA219" s="119"/>
      <c r="AB219" s="119"/>
      <c r="AC219" s="119"/>
      <c r="AD219" s="119"/>
      <c r="AE219" s="355">
        <v>13000</v>
      </c>
      <c r="AF219" s="356"/>
    </row>
    <row r="220" spans="1:103" outlineLevel="1" x14ac:dyDescent="0.25">
      <c r="A220" s="352" t="s">
        <v>1286</v>
      </c>
      <c r="B220" s="475" t="s">
        <v>1329</v>
      </c>
      <c r="C220" s="431"/>
      <c r="D220" s="119">
        <v>7500</v>
      </c>
      <c r="E220" s="110"/>
      <c r="F220" s="119">
        <f t="shared" si="92"/>
        <v>7500</v>
      </c>
      <c r="G220" s="294">
        <f t="shared" si="68"/>
        <v>1</v>
      </c>
      <c r="H220" s="490"/>
      <c r="I220" s="290"/>
      <c r="J220" s="119">
        <f t="shared" si="81"/>
        <v>7500</v>
      </c>
      <c r="K220" s="290"/>
      <c r="L220" s="290">
        <f t="shared" si="77"/>
        <v>7500</v>
      </c>
      <c r="M220" s="354">
        <f>+J220/L220</f>
        <v>1</v>
      </c>
      <c r="N220" s="353"/>
      <c r="O220" s="431"/>
      <c r="P220" s="119"/>
      <c r="Q220" s="119"/>
      <c r="R220" s="119"/>
      <c r="S220" s="119"/>
      <c r="T220" s="119"/>
      <c r="U220" s="119"/>
      <c r="V220" s="119">
        <v>7500</v>
      </c>
      <c r="W220" s="356"/>
      <c r="X220" s="290"/>
      <c r="Y220" s="119"/>
      <c r="Z220" s="119"/>
      <c r="AA220" s="119"/>
      <c r="AB220" s="119"/>
      <c r="AC220" s="119"/>
      <c r="AD220" s="119"/>
      <c r="AE220" s="355">
        <v>7500</v>
      </c>
      <c r="AF220" s="356"/>
    </row>
    <row r="221" spans="1:103" outlineLevel="1" x14ac:dyDescent="0.25">
      <c r="A221" s="352" t="s">
        <v>1068</v>
      </c>
      <c r="B221" s="475" t="s">
        <v>1210</v>
      </c>
      <c r="C221" s="431"/>
      <c r="D221" s="119">
        <v>15000</v>
      </c>
      <c r="E221" s="110"/>
      <c r="F221" s="119">
        <f t="shared" si="92"/>
        <v>16000</v>
      </c>
      <c r="G221" s="294">
        <f t="shared" ref="G221:G287" si="93">+D221/F221</f>
        <v>0.9375</v>
      </c>
      <c r="H221" s="490"/>
      <c r="I221" s="290"/>
      <c r="J221" s="119">
        <f t="shared" si="81"/>
        <v>15000</v>
      </c>
      <c r="K221" s="290"/>
      <c r="L221" s="290">
        <f t="shared" si="77"/>
        <v>16000</v>
      </c>
      <c r="M221" s="354">
        <f>+J221/L221</f>
        <v>0.9375</v>
      </c>
      <c r="N221" s="353"/>
      <c r="O221" s="431"/>
      <c r="P221" s="119"/>
      <c r="Q221" s="119">
        <v>4756</v>
      </c>
      <c r="R221" s="119"/>
      <c r="S221" s="119"/>
      <c r="T221" s="119"/>
      <c r="U221" s="119"/>
      <c r="V221" s="119">
        <f>15000-Q221</f>
        <v>10244</v>
      </c>
      <c r="W221" s="356"/>
      <c r="X221" s="290"/>
      <c r="Y221" s="119"/>
      <c r="Z221" s="119">
        <v>4756</v>
      </c>
      <c r="AA221" s="119"/>
      <c r="AB221" s="119"/>
      <c r="AC221" s="119"/>
      <c r="AD221" s="119"/>
      <c r="AE221" s="355">
        <f>14677-3433</f>
        <v>11244</v>
      </c>
      <c r="AF221" s="356"/>
    </row>
    <row r="222" spans="1:103" outlineLevel="1" x14ac:dyDescent="0.25">
      <c r="A222" s="352" t="s">
        <v>1287</v>
      </c>
      <c r="B222" s="475" t="s">
        <v>1211</v>
      </c>
      <c r="C222" s="431"/>
      <c r="D222" s="119"/>
      <c r="E222" s="110"/>
      <c r="F222" s="119">
        <f t="shared" si="92"/>
        <v>0</v>
      </c>
      <c r="G222" s="294"/>
      <c r="H222" s="490"/>
      <c r="I222" s="290"/>
      <c r="J222" s="119">
        <f t="shared" si="81"/>
        <v>0</v>
      </c>
      <c r="K222" s="290"/>
      <c r="L222" s="290">
        <f t="shared" si="77"/>
        <v>0</v>
      </c>
      <c r="M222" s="354"/>
      <c r="N222" s="353"/>
      <c r="O222" s="431"/>
      <c r="P222" s="119"/>
      <c r="Q222" s="119"/>
      <c r="R222" s="119"/>
      <c r="S222" s="119"/>
      <c r="T222" s="119"/>
      <c r="U222" s="119"/>
      <c r="V222" s="119">
        <f>+AE222</f>
        <v>0</v>
      </c>
      <c r="W222" s="356"/>
      <c r="X222" s="290"/>
      <c r="Y222" s="119"/>
      <c r="Z222" s="119"/>
      <c r="AA222" s="119"/>
      <c r="AB222" s="119"/>
      <c r="AC222" s="119"/>
      <c r="AD222" s="119"/>
      <c r="AE222" s="355">
        <v>0</v>
      </c>
      <c r="AF222" s="356"/>
    </row>
    <row r="223" spans="1:103" outlineLevel="1" x14ac:dyDescent="0.25">
      <c r="A223" s="352" t="s">
        <v>1288</v>
      </c>
      <c r="B223" s="475" t="s">
        <v>1213</v>
      </c>
      <c r="C223" s="431"/>
      <c r="D223" s="119">
        <v>5000</v>
      </c>
      <c r="E223" s="110">
        <f>1229.2-1155</f>
        <v>74.200000000000045</v>
      </c>
      <c r="F223" s="119">
        <f t="shared" si="92"/>
        <v>4400</v>
      </c>
      <c r="G223" s="294">
        <f t="shared" si="93"/>
        <v>1.1363636363636365</v>
      </c>
      <c r="H223" s="490"/>
      <c r="I223" s="290"/>
      <c r="J223" s="119">
        <f t="shared" si="81"/>
        <v>5000</v>
      </c>
      <c r="K223" s="290"/>
      <c r="L223" s="290">
        <f t="shared" si="77"/>
        <v>4400</v>
      </c>
      <c r="M223" s="354">
        <f>+J223/L223</f>
        <v>1.1363636363636365</v>
      </c>
      <c r="N223" s="353"/>
      <c r="O223" s="431"/>
      <c r="P223" s="119"/>
      <c r="Q223" s="119"/>
      <c r="R223" s="119"/>
      <c r="S223" s="119"/>
      <c r="T223" s="119"/>
      <c r="U223" s="119"/>
      <c r="V223" s="119">
        <v>5000</v>
      </c>
      <c r="W223" s="356"/>
      <c r="X223" s="290"/>
      <c r="Y223" s="119"/>
      <c r="Z223" s="119"/>
      <c r="AA223" s="119"/>
      <c r="AB223" s="119"/>
      <c r="AC223" s="119"/>
      <c r="AD223" s="119"/>
      <c r="AE223" s="355">
        <v>4400</v>
      </c>
      <c r="AF223" s="356"/>
    </row>
    <row r="224" spans="1:103" outlineLevel="1" x14ac:dyDescent="0.25">
      <c r="A224" s="352" t="s">
        <v>1289</v>
      </c>
      <c r="B224" s="475" t="s">
        <v>1215</v>
      </c>
      <c r="C224" s="431"/>
      <c r="D224" s="119"/>
      <c r="E224" s="110">
        <f>2505.82-2182.72</f>
        <v>323.10000000000036</v>
      </c>
      <c r="F224" s="119">
        <f t="shared" si="92"/>
        <v>2000</v>
      </c>
      <c r="G224" s="294">
        <f t="shared" si="93"/>
        <v>0</v>
      </c>
      <c r="H224" s="490"/>
      <c r="I224" s="290"/>
      <c r="J224" s="119">
        <f t="shared" si="81"/>
        <v>0</v>
      </c>
      <c r="K224" s="290"/>
      <c r="L224" s="290">
        <f t="shared" si="77"/>
        <v>2000</v>
      </c>
      <c r="M224" s="354">
        <f>+J224/L224</f>
        <v>0</v>
      </c>
      <c r="N224" s="353"/>
      <c r="O224" s="431"/>
      <c r="P224" s="119"/>
      <c r="Q224" s="119"/>
      <c r="R224" s="119"/>
      <c r="S224" s="119"/>
      <c r="T224" s="119"/>
      <c r="U224" s="119"/>
      <c r="V224" s="119"/>
      <c r="W224" s="356"/>
      <c r="X224" s="290"/>
      <c r="Y224" s="119"/>
      <c r="Z224" s="119"/>
      <c r="AA224" s="119"/>
      <c r="AB224" s="119"/>
      <c r="AC224" s="119"/>
      <c r="AD224" s="119"/>
      <c r="AE224" s="355">
        <v>2000</v>
      </c>
      <c r="AF224" s="356"/>
    </row>
    <row r="225" spans="1:103" outlineLevel="1" x14ac:dyDescent="0.25">
      <c r="A225" s="515" t="s">
        <v>1419</v>
      </c>
      <c r="B225" s="516" t="s">
        <v>1420</v>
      </c>
      <c r="C225" s="431"/>
      <c r="D225" s="119">
        <v>5000</v>
      </c>
      <c r="E225" s="110"/>
      <c r="F225" s="119"/>
      <c r="G225" s="294"/>
      <c r="H225" s="490"/>
      <c r="I225" s="290"/>
      <c r="J225" s="119">
        <f t="shared" si="81"/>
        <v>5000</v>
      </c>
      <c r="K225" s="290"/>
      <c r="L225" s="290"/>
      <c r="M225" s="354"/>
      <c r="N225" s="353"/>
      <c r="O225" s="431"/>
      <c r="P225" s="119"/>
      <c r="Q225" s="119"/>
      <c r="R225" s="119"/>
      <c r="S225" s="119"/>
      <c r="T225" s="119"/>
      <c r="U225" s="119"/>
      <c r="V225" s="119">
        <v>5000</v>
      </c>
      <c r="W225" s="356"/>
      <c r="X225" s="290"/>
      <c r="Y225" s="119"/>
      <c r="Z225" s="119"/>
      <c r="AA225" s="119"/>
      <c r="AB225" s="119"/>
      <c r="AC225" s="119"/>
      <c r="AD225" s="119"/>
      <c r="AE225" s="355"/>
      <c r="AF225" s="356"/>
    </row>
    <row r="226" spans="1:103" outlineLevel="1" x14ac:dyDescent="0.25">
      <c r="A226" s="352" t="s">
        <v>1290</v>
      </c>
      <c r="B226" s="475" t="s">
        <v>47</v>
      </c>
      <c r="C226" s="431">
        <v>25806.37</v>
      </c>
      <c r="D226" s="119"/>
      <c r="E226" s="110">
        <f>11399.86+9.96</f>
        <v>11409.82</v>
      </c>
      <c r="F226" s="119"/>
      <c r="G226" s="294"/>
      <c r="H226" s="490">
        <f>+F226/C226</f>
        <v>0</v>
      </c>
      <c r="I226" s="290"/>
      <c r="J226" s="119">
        <f t="shared" si="81"/>
        <v>0</v>
      </c>
      <c r="K226" s="290"/>
      <c r="L226" s="290">
        <f t="shared" si="77"/>
        <v>0</v>
      </c>
      <c r="M226" s="354"/>
      <c r="N226" s="353"/>
      <c r="O226" s="431"/>
      <c r="P226" s="119"/>
      <c r="Q226" s="119"/>
      <c r="R226" s="119"/>
      <c r="S226" s="119"/>
      <c r="T226" s="119"/>
      <c r="U226" s="119"/>
      <c r="V226" s="119"/>
      <c r="W226" s="356"/>
      <c r="X226" s="290"/>
      <c r="Y226" s="119"/>
      <c r="Z226" s="119"/>
      <c r="AA226" s="119"/>
      <c r="AB226" s="119"/>
      <c r="AC226" s="119"/>
      <c r="AD226" s="119"/>
      <c r="AE226" s="355"/>
      <c r="AF226" s="356"/>
    </row>
    <row r="227" spans="1:103" s="351" customFormat="1" ht="15.75" x14ac:dyDescent="0.25">
      <c r="A227" s="345" t="s">
        <v>173</v>
      </c>
      <c r="B227" s="474" t="s">
        <v>316</v>
      </c>
      <c r="C227" s="430">
        <f>+C228+C229+C230+C232+C231+C233+C235</f>
        <v>4865.66</v>
      </c>
      <c r="D227" s="455">
        <f>+D228+D229+D230+D232+D231+D233+D235+D234</f>
        <v>6150</v>
      </c>
      <c r="E227" s="274">
        <f>+E228+E229+E230+E232+E231+E233+E235</f>
        <v>5509.0599999999986</v>
      </c>
      <c r="F227" s="455">
        <f>+F228+F229+F230+F232+F231+F233+F235</f>
        <v>3423</v>
      </c>
      <c r="G227" s="292">
        <f t="shared" si="93"/>
        <v>1.7966695880806309</v>
      </c>
      <c r="H227" s="489">
        <f>+F227/C227</f>
        <v>0.70350168322488627</v>
      </c>
      <c r="I227" s="349"/>
      <c r="J227" s="347">
        <f>SUM(J228:J235)</f>
        <v>6150</v>
      </c>
      <c r="K227" s="291"/>
      <c r="L227" s="291">
        <f t="shared" si="77"/>
        <v>3423</v>
      </c>
      <c r="M227" s="348">
        <f>+J227/L227</f>
        <v>1.7966695880806309</v>
      </c>
      <c r="N227" s="392"/>
      <c r="O227" s="430">
        <f>SUM(O228:O235)</f>
        <v>0</v>
      </c>
      <c r="P227" s="455">
        <f t="shared" ref="P227:W227" si="94">SUM(P228:P235)</f>
        <v>6150</v>
      </c>
      <c r="Q227" s="455">
        <f t="shared" si="94"/>
        <v>0</v>
      </c>
      <c r="R227" s="455">
        <f t="shared" si="94"/>
        <v>0</v>
      </c>
      <c r="S227" s="455">
        <f t="shared" si="94"/>
        <v>0</v>
      </c>
      <c r="T227" s="455">
        <f t="shared" si="94"/>
        <v>0</v>
      </c>
      <c r="U227" s="455">
        <f t="shared" si="94"/>
        <v>0</v>
      </c>
      <c r="V227" s="455">
        <f t="shared" si="94"/>
        <v>0</v>
      </c>
      <c r="W227" s="350">
        <f t="shared" si="94"/>
        <v>0</v>
      </c>
      <c r="X227" s="349">
        <f>SUM(X228:X230)</f>
        <v>0</v>
      </c>
      <c r="Y227" s="455">
        <f t="shared" ref="Y227:AF227" si="95">SUM(Y228:Y235)</f>
        <v>3423</v>
      </c>
      <c r="Z227" s="455">
        <f t="shared" si="95"/>
        <v>0</v>
      </c>
      <c r="AA227" s="455">
        <f t="shared" si="95"/>
        <v>0</v>
      </c>
      <c r="AB227" s="455">
        <f t="shared" si="95"/>
        <v>0</v>
      </c>
      <c r="AC227" s="455">
        <f t="shared" si="95"/>
        <v>0</v>
      </c>
      <c r="AD227" s="455">
        <f t="shared" si="95"/>
        <v>0</v>
      </c>
      <c r="AE227" s="455">
        <f t="shared" si="95"/>
        <v>0</v>
      </c>
      <c r="AF227" s="350">
        <f t="shared" si="95"/>
        <v>0</v>
      </c>
      <c r="AG227" s="293"/>
      <c r="AH227" s="293"/>
      <c r="AI227" s="293"/>
      <c r="AJ227" s="293"/>
      <c r="AK227" s="293"/>
      <c r="AL227" s="293"/>
      <c r="AM227" s="293"/>
      <c r="AN227" s="293"/>
      <c r="AO227" s="293"/>
      <c r="AP227" s="293"/>
      <c r="AQ227" s="293"/>
      <c r="AR227" s="293"/>
      <c r="AS227" s="293"/>
      <c r="AT227" s="293"/>
      <c r="AU227" s="293"/>
      <c r="AV227" s="293"/>
      <c r="AW227" s="293"/>
      <c r="AX227" s="293"/>
      <c r="AY227" s="293"/>
      <c r="AZ227" s="293"/>
      <c r="BA227" s="293"/>
      <c r="BB227" s="293"/>
      <c r="BC227" s="293"/>
      <c r="BD227" s="293"/>
      <c r="BE227" s="293"/>
      <c r="BF227" s="293"/>
      <c r="BG227" s="293"/>
      <c r="BH227" s="293"/>
      <c r="BI227" s="293"/>
      <c r="BJ227" s="293"/>
      <c r="BK227" s="293"/>
      <c r="BL227" s="293"/>
      <c r="BM227" s="293"/>
      <c r="BN227" s="293"/>
      <c r="BO227" s="293"/>
      <c r="BP227" s="293"/>
      <c r="BQ227" s="293"/>
      <c r="BR227" s="293"/>
      <c r="BS227" s="293"/>
      <c r="BT227" s="293"/>
      <c r="BU227" s="293"/>
      <c r="BV227" s="293"/>
      <c r="BW227" s="293"/>
      <c r="BX227" s="293"/>
      <c r="BY227" s="293"/>
      <c r="BZ227" s="293"/>
      <c r="CA227" s="293"/>
      <c r="CB227" s="293"/>
      <c r="CC227" s="293"/>
      <c r="CD227" s="293"/>
      <c r="CE227" s="293"/>
      <c r="CF227" s="293"/>
      <c r="CG227" s="293"/>
      <c r="CH227" s="293"/>
      <c r="CI227" s="293"/>
      <c r="CJ227" s="293"/>
      <c r="CK227" s="293"/>
      <c r="CL227" s="293"/>
      <c r="CM227" s="293"/>
      <c r="CN227" s="293"/>
      <c r="CO227" s="293"/>
      <c r="CP227" s="293"/>
      <c r="CQ227" s="293"/>
      <c r="CR227" s="293"/>
      <c r="CS227" s="293"/>
      <c r="CT227" s="293"/>
      <c r="CU227" s="293"/>
      <c r="CV227" s="293"/>
      <c r="CW227" s="293"/>
      <c r="CX227" s="293"/>
      <c r="CY227" s="293"/>
    </row>
    <row r="228" spans="1:103" ht="16.5" customHeight="1" outlineLevel="1" x14ac:dyDescent="0.25">
      <c r="A228" s="352" t="s">
        <v>174</v>
      </c>
      <c r="B228" s="475" t="s">
        <v>850</v>
      </c>
      <c r="C228" s="431">
        <f>3594.71-1736.71</f>
        <v>1858</v>
      </c>
      <c r="D228" s="119"/>
      <c r="E228" s="110">
        <v>457.98</v>
      </c>
      <c r="F228" s="119"/>
      <c r="G228" s="294"/>
      <c r="H228" s="490">
        <f>+F228/C228</f>
        <v>0</v>
      </c>
      <c r="I228" s="290"/>
      <c r="J228" s="119">
        <f t="shared" si="81"/>
        <v>0</v>
      </c>
      <c r="K228" s="290"/>
      <c r="L228" s="290">
        <f t="shared" si="77"/>
        <v>0</v>
      </c>
      <c r="M228" s="354"/>
      <c r="N228" s="353"/>
      <c r="O228" s="431"/>
      <c r="P228" s="119"/>
      <c r="Q228" s="119"/>
      <c r="R228" s="119"/>
      <c r="S228" s="119"/>
      <c r="T228" s="119"/>
      <c r="U228" s="119"/>
      <c r="V228" s="119"/>
      <c r="W228" s="356"/>
      <c r="X228" s="290"/>
      <c r="Y228" s="119"/>
      <c r="Z228" s="119"/>
      <c r="AA228" s="119"/>
      <c r="AB228" s="119"/>
      <c r="AC228" s="119"/>
      <c r="AD228" s="119"/>
      <c r="AE228" s="355"/>
      <c r="AF228" s="356"/>
    </row>
    <row r="229" spans="1:103" outlineLevel="1" x14ac:dyDescent="0.25">
      <c r="A229" s="352" t="s">
        <v>175</v>
      </c>
      <c r="B229" s="475" t="s">
        <v>851</v>
      </c>
      <c r="C229" s="431">
        <f>2737.66-2408.96</f>
        <v>328.69999999999982</v>
      </c>
      <c r="D229" s="119"/>
      <c r="E229" s="110">
        <v>934.77</v>
      </c>
      <c r="F229" s="119"/>
      <c r="G229" s="294"/>
      <c r="H229" s="490">
        <f>+F229/C229</f>
        <v>0</v>
      </c>
      <c r="I229" s="290"/>
      <c r="J229" s="119">
        <f t="shared" si="81"/>
        <v>0</v>
      </c>
      <c r="K229" s="290"/>
      <c r="L229" s="290">
        <f t="shared" si="77"/>
        <v>0</v>
      </c>
      <c r="M229" s="354"/>
      <c r="N229" s="353"/>
      <c r="O229" s="431"/>
      <c r="P229" s="119"/>
      <c r="Q229" s="119"/>
      <c r="R229" s="119"/>
      <c r="S229" s="119"/>
      <c r="T229" s="119"/>
      <c r="U229" s="119"/>
      <c r="V229" s="119"/>
      <c r="W229" s="356"/>
      <c r="X229" s="290"/>
      <c r="Y229" s="119"/>
      <c r="Z229" s="119"/>
      <c r="AA229" s="119"/>
      <c r="AB229" s="119"/>
      <c r="AC229" s="119"/>
      <c r="AD229" s="119"/>
      <c r="AE229" s="355"/>
      <c r="AF229" s="356"/>
    </row>
    <row r="230" spans="1:103" outlineLevel="1" x14ac:dyDescent="0.25">
      <c r="A230" s="352" t="s">
        <v>176</v>
      </c>
      <c r="B230" s="475" t="s">
        <v>995</v>
      </c>
      <c r="C230" s="431">
        <v>0</v>
      </c>
      <c r="D230" s="119"/>
      <c r="E230" s="110">
        <v>568.91</v>
      </c>
      <c r="F230" s="119"/>
      <c r="G230" s="294"/>
      <c r="H230" s="490"/>
      <c r="I230" s="290"/>
      <c r="J230" s="119">
        <f t="shared" si="81"/>
        <v>0</v>
      </c>
      <c r="K230" s="290"/>
      <c r="L230" s="290">
        <f t="shared" si="77"/>
        <v>0</v>
      </c>
      <c r="M230" s="354"/>
      <c r="N230" s="353"/>
      <c r="O230" s="431"/>
      <c r="P230" s="119"/>
      <c r="Q230" s="119"/>
      <c r="R230" s="119"/>
      <c r="S230" s="119"/>
      <c r="T230" s="119"/>
      <c r="U230" s="119"/>
      <c r="V230" s="119"/>
      <c r="W230" s="356"/>
      <c r="X230" s="290"/>
      <c r="Y230" s="119"/>
      <c r="Z230" s="119"/>
      <c r="AA230" s="119"/>
      <c r="AB230" s="119"/>
      <c r="AC230" s="119"/>
      <c r="AD230" s="119"/>
      <c r="AE230" s="355"/>
      <c r="AF230" s="356"/>
    </row>
    <row r="231" spans="1:103" outlineLevel="1" x14ac:dyDescent="0.25">
      <c r="A231" s="352" t="s">
        <v>1291</v>
      </c>
      <c r="B231" s="475" t="s">
        <v>1280</v>
      </c>
      <c r="C231" s="431"/>
      <c r="D231" s="119">
        <v>3000</v>
      </c>
      <c r="E231" s="110">
        <f>7214.83-4633.42</f>
        <v>2581.41</v>
      </c>
      <c r="F231" s="119">
        <f>+L231</f>
        <v>2375</v>
      </c>
      <c r="G231" s="294">
        <f t="shared" si="93"/>
        <v>1.263157894736842</v>
      </c>
      <c r="H231" s="490"/>
      <c r="I231" s="290"/>
      <c r="J231" s="119">
        <f t="shared" si="81"/>
        <v>3000</v>
      </c>
      <c r="K231" s="290"/>
      <c r="L231" s="290">
        <f t="shared" si="77"/>
        <v>2375</v>
      </c>
      <c r="M231" s="354">
        <f>+J231/L231</f>
        <v>1.263157894736842</v>
      </c>
      <c r="N231" s="353"/>
      <c r="O231" s="431"/>
      <c r="P231" s="119">
        <v>3000</v>
      </c>
      <c r="Q231" s="119"/>
      <c r="R231" s="119"/>
      <c r="S231" s="119"/>
      <c r="T231" s="119"/>
      <c r="U231" s="119"/>
      <c r="V231" s="119"/>
      <c r="W231" s="356"/>
      <c r="X231" s="290"/>
      <c r="Y231" s="119">
        <v>2375</v>
      </c>
      <c r="Z231" s="119"/>
      <c r="AA231" s="119"/>
      <c r="AB231" s="119"/>
      <c r="AC231" s="119"/>
      <c r="AD231" s="119"/>
      <c r="AE231" s="355"/>
      <c r="AF231" s="356"/>
    </row>
    <row r="232" spans="1:103" outlineLevel="1" x14ac:dyDescent="0.25">
      <c r="A232" s="352" t="s">
        <v>1292</v>
      </c>
      <c r="B232" s="475" t="s">
        <v>1214</v>
      </c>
      <c r="C232" s="431"/>
      <c r="D232" s="119">
        <v>550</v>
      </c>
      <c r="E232" s="110">
        <f>844.39-548</f>
        <v>296.39</v>
      </c>
      <c r="F232" s="119">
        <f>+L232</f>
        <v>548</v>
      </c>
      <c r="G232" s="294">
        <f t="shared" si="93"/>
        <v>1.0036496350364963</v>
      </c>
      <c r="H232" s="490"/>
      <c r="I232" s="290"/>
      <c r="J232" s="119">
        <f t="shared" si="81"/>
        <v>550</v>
      </c>
      <c r="K232" s="290"/>
      <c r="L232" s="290">
        <f t="shared" si="77"/>
        <v>548</v>
      </c>
      <c r="M232" s="354">
        <f>+J232/L232</f>
        <v>1.0036496350364963</v>
      </c>
      <c r="N232" s="353"/>
      <c r="O232" s="431"/>
      <c r="P232" s="119">
        <v>550</v>
      </c>
      <c r="Q232" s="119"/>
      <c r="R232" s="119"/>
      <c r="S232" s="119"/>
      <c r="T232" s="119"/>
      <c r="U232" s="119"/>
      <c r="V232" s="119"/>
      <c r="W232" s="356"/>
      <c r="X232" s="290"/>
      <c r="Y232" s="119">
        <v>548</v>
      </c>
      <c r="Z232" s="119"/>
      <c r="AA232" s="119"/>
      <c r="AB232" s="119"/>
      <c r="AC232" s="119"/>
      <c r="AD232" s="119"/>
      <c r="AE232" s="355"/>
      <c r="AF232" s="356"/>
    </row>
    <row r="233" spans="1:103" outlineLevel="1" x14ac:dyDescent="0.25">
      <c r="A233" s="352" t="s">
        <v>1330</v>
      </c>
      <c r="B233" s="475" t="s">
        <v>1331</v>
      </c>
      <c r="C233" s="431"/>
      <c r="D233" s="119">
        <v>600</v>
      </c>
      <c r="E233" s="110">
        <f>2177.64-1600</f>
        <v>577.63999999999987</v>
      </c>
      <c r="F233" s="119">
        <f>+L233</f>
        <v>500</v>
      </c>
      <c r="G233" s="294">
        <f t="shared" si="93"/>
        <v>1.2</v>
      </c>
      <c r="H233" s="490"/>
      <c r="I233" s="290"/>
      <c r="J233" s="119">
        <f t="shared" si="81"/>
        <v>600</v>
      </c>
      <c r="K233" s="290"/>
      <c r="L233" s="290">
        <f t="shared" si="77"/>
        <v>500</v>
      </c>
      <c r="M233" s="354">
        <f>+J233/L233</f>
        <v>1.2</v>
      </c>
      <c r="N233" s="353"/>
      <c r="O233" s="431"/>
      <c r="P233" s="119">
        <v>600</v>
      </c>
      <c r="Q233" s="119"/>
      <c r="R233" s="119"/>
      <c r="S233" s="119"/>
      <c r="T233" s="119"/>
      <c r="U233" s="119"/>
      <c r="V233" s="119"/>
      <c r="W233" s="356"/>
      <c r="X233" s="290"/>
      <c r="Y233" s="119">
        <v>500</v>
      </c>
      <c r="Z233" s="119"/>
      <c r="AA233" s="119"/>
      <c r="AB233" s="119"/>
      <c r="AC233" s="119"/>
      <c r="AD233" s="119"/>
      <c r="AE233" s="355"/>
      <c r="AF233" s="356"/>
    </row>
    <row r="234" spans="1:103" outlineLevel="1" x14ac:dyDescent="0.25">
      <c r="A234" s="515" t="s">
        <v>1421</v>
      </c>
      <c r="B234" s="516" t="s">
        <v>1422</v>
      </c>
      <c r="C234" s="431"/>
      <c r="D234" s="119">
        <v>2000</v>
      </c>
      <c r="E234" s="110"/>
      <c r="F234" s="119"/>
      <c r="G234" s="294"/>
      <c r="H234" s="490"/>
      <c r="I234" s="290"/>
      <c r="J234" s="119">
        <f t="shared" si="81"/>
        <v>2000</v>
      </c>
      <c r="K234" s="290"/>
      <c r="L234" s="290"/>
      <c r="M234" s="354"/>
      <c r="N234" s="353"/>
      <c r="O234" s="431"/>
      <c r="P234" s="119">
        <v>2000</v>
      </c>
      <c r="Q234" s="119"/>
      <c r="R234" s="119"/>
      <c r="S234" s="119"/>
      <c r="T234" s="119"/>
      <c r="U234" s="119"/>
      <c r="V234" s="119"/>
      <c r="W234" s="356"/>
      <c r="X234" s="290"/>
      <c r="Y234" s="119"/>
      <c r="Z234" s="119"/>
      <c r="AA234" s="119"/>
      <c r="AB234" s="119"/>
      <c r="AC234" s="119"/>
      <c r="AD234" s="119"/>
      <c r="AE234" s="355"/>
      <c r="AF234" s="356"/>
    </row>
    <row r="235" spans="1:103" outlineLevel="1" x14ac:dyDescent="0.25">
      <c r="A235" s="352" t="s">
        <v>1316</v>
      </c>
      <c r="B235" s="475" t="s">
        <v>1317</v>
      </c>
      <c r="C235" s="431">
        <v>2678.96</v>
      </c>
      <c r="D235" s="119"/>
      <c r="E235" s="110">
        <v>91.96</v>
      </c>
      <c r="F235" s="119"/>
      <c r="G235" s="294"/>
      <c r="H235" s="490">
        <f>+F235/C235</f>
        <v>0</v>
      </c>
      <c r="I235" s="290"/>
      <c r="J235" s="119">
        <f t="shared" si="81"/>
        <v>0</v>
      </c>
      <c r="K235" s="290"/>
      <c r="L235" s="290">
        <f t="shared" si="77"/>
        <v>0</v>
      </c>
      <c r="M235" s="354"/>
      <c r="N235" s="353"/>
      <c r="O235" s="431"/>
      <c r="P235" s="119"/>
      <c r="Q235" s="119"/>
      <c r="R235" s="119"/>
      <c r="S235" s="119"/>
      <c r="T235" s="119"/>
      <c r="U235" s="119"/>
      <c r="V235" s="119"/>
      <c r="W235" s="356"/>
      <c r="X235" s="290"/>
      <c r="Y235" s="119"/>
      <c r="Z235" s="119"/>
      <c r="AA235" s="119"/>
      <c r="AB235" s="119"/>
      <c r="AC235" s="119"/>
      <c r="AD235" s="119"/>
      <c r="AE235" s="355"/>
      <c r="AF235" s="356"/>
    </row>
    <row r="236" spans="1:103" s="351" customFormat="1" ht="15.75" x14ac:dyDescent="0.25">
      <c r="A236" s="345" t="s">
        <v>178</v>
      </c>
      <c r="B236" s="474" t="s">
        <v>314</v>
      </c>
      <c r="C236" s="430">
        <f>+C237+C239</f>
        <v>1132.9100000000001</v>
      </c>
      <c r="D236" s="455">
        <f>+D237+D239+D238</f>
        <v>7000</v>
      </c>
      <c r="E236" s="274">
        <f>+E237+E239</f>
        <v>2651.8499999999995</v>
      </c>
      <c r="F236" s="455">
        <f>+F237+F239</f>
        <v>3000</v>
      </c>
      <c r="G236" s="292">
        <f t="shared" si="93"/>
        <v>2.3333333333333335</v>
      </c>
      <c r="H236" s="489">
        <f>+F236/C236</f>
        <v>2.6480479473214995</v>
      </c>
      <c r="I236" s="349"/>
      <c r="J236" s="347">
        <f>+J237+J238+J239</f>
        <v>7000</v>
      </c>
      <c r="K236" s="291"/>
      <c r="L236" s="291">
        <f t="shared" si="77"/>
        <v>3000</v>
      </c>
      <c r="M236" s="348">
        <f>+J236/L236</f>
        <v>2.3333333333333335</v>
      </c>
      <c r="N236" s="392"/>
      <c r="O236" s="430">
        <f>SUM(O237:O239)</f>
        <v>0</v>
      </c>
      <c r="P236" s="455">
        <f t="shared" ref="P236:W236" si="96">SUM(P237:P239)</f>
        <v>7000</v>
      </c>
      <c r="Q236" s="455">
        <f t="shared" si="96"/>
        <v>0</v>
      </c>
      <c r="R236" s="455">
        <f t="shared" si="96"/>
        <v>0</v>
      </c>
      <c r="S236" s="455">
        <f t="shared" si="96"/>
        <v>0</v>
      </c>
      <c r="T236" s="455">
        <f t="shared" si="96"/>
        <v>0</v>
      </c>
      <c r="U236" s="455">
        <f t="shared" si="96"/>
        <v>0</v>
      </c>
      <c r="V236" s="455">
        <f t="shared" si="96"/>
        <v>0</v>
      </c>
      <c r="W236" s="350">
        <f t="shared" si="96"/>
        <v>0</v>
      </c>
      <c r="X236" s="349">
        <f t="shared" ref="X236:AF236" si="97">SUM(X237:X239)</f>
        <v>0</v>
      </c>
      <c r="Y236" s="455">
        <f t="shared" si="97"/>
        <v>3000</v>
      </c>
      <c r="Z236" s="455">
        <f t="shared" si="97"/>
        <v>0</v>
      </c>
      <c r="AA236" s="455">
        <f t="shared" si="97"/>
        <v>0</v>
      </c>
      <c r="AB236" s="455">
        <f t="shared" si="97"/>
        <v>0</v>
      </c>
      <c r="AC236" s="455">
        <f t="shared" si="97"/>
        <v>0</v>
      </c>
      <c r="AD236" s="455">
        <f t="shared" si="97"/>
        <v>0</v>
      </c>
      <c r="AE236" s="455">
        <f t="shared" si="97"/>
        <v>0</v>
      </c>
      <c r="AF236" s="350">
        <f t="shared" si="97"/>
        <v>0</v>
      </c>
      <c r="AG236" s="293"/>
      <c r="AH236" s="293"/>
      <c r="AI236" s="293"/>
      <c r="AJ236" s="293"/>
      <c r="AK236" s="293"/>
      <c r="AL236" s="293"/>
      <c r="AM236" s="293"/>
      <c r="AN236" s="293"/>
      <c r="AO236" s="293"/>
      <c r="AP236" s="293"/>
      <c r="AQ236" s="293"/>
      <c r="AR236" s="293"/>
      <c r="AS236" s="293"/>
      <c r="AT236" s="293"/>
      <c r="AU236" s="293"/>
      <c r="AV236" s="293"/>
      <c r="AW236" s="293"/>
      <c r="AX236" s="293"/>
      <c r="AY236" s="293"/>
      <c r="AZ236" s="293"/>
      <c r="BA236" s="293"/>
      <c r="BB236" s="293"/>
      <c r="BC236" s="293"/>
      <c r="BD236" s="293"/>
      <c r="BE236" s="293"/>
      <c r="BF236" s="293"/>
      <c r="BG236" s="293"/>
      <c r="BH236" s="293"/>
      <c r="BI236" s="293"/>
      <c r="BJ236" s="293"/>
      <c r="BK236" s="293"/>
      <c r="BL236" s="293"/>
      <c r="BM236" s="293"/>
      <c r="BN236" s="293"/>
      <c r="BO236" s="293"/>
      <c r="BP236" s="293"/>
      <c r="BQ236" s="293"/>
      <c r="BR236" s="293"/>
      <c r="BS236" s="293"/>
      <c r="BT236" s="293"/>
      <c r="BU236" s="293"/>
      <c r="BV236" s="293"/>
      <c r="BW236" s="293"/>
      <c r="BX236" s="293"/>
      <c r="BY236" s="293"/>
      <c r="BZ236" s="293"/>
      <c r="CA236" s="293"/>
      <c r="CB236" s="293"/>
      <c r="CC236" s="293"/>
      <c r="CD236" s="293"/>
      <c r="CE236" s="293"/>
      <c r="CF236" s="293"/>
      <c r="CG236" s="293"/>
      <c r="CH236" s="293"/>
      <c r="CI236" s="293"/>
      <c r="CJ236" s="293"/>
      <c r="CK236" s="293"/>
      <c r="CL236" s="293"/>
      <c r="CM236" s="293"/>
      <c r="CN236" s="293"/>
      <c r="CO236" s="293"/>
      <c r="CP236" s="293"/>
      <c r="CQ236" s="293"/>
      <c r="CR236" s="293"/>
      <c r="CS236" s="293"/>
      <c r="CT236" s="293"/>
      <c r="CU236" s="293"/>
      <c r="CV236" s="293"/>
      <c r="CW236" s="293"/>
      <c r="CX236" s="293"/>
      <c r="CY236" s="293"/>
    </row>
    <row r="237" spans="1:103" outlineLevel="1" x14ac:dyDescent="0.25">
      <c r="A237" s="352" t="s">
        <v>180</v>
      </c>
      <c r="B237" s="475" t="s">
        <v>853</v>
      </c>
      <c r="C237" s="431"/>
      <c r="D237" s="119"/>
      <c r="E237" s="110">
        <f>5905.69-5069.14</f>
        <v>836.54999999999927</v>
      </c>
      <c r="F237" s="119">
        <f>+L237</f>
        <v>3000</v>
      </c>
      <c r="G237" s="294">
        <f t="shared" si="93"/>
        <v>0</v>
      </c>
      <c r="H237" s="490"/>
      <c r="I237" s="290"/>
      <c r="J237" s="119">
        <f t="shared" ref="J237:J272" si="98">+O237+P237+Q237+R237+S237+T237+U237+V237+W237</f>
        <v>0</v>
      </c>
      <c r="K237" s="290"/>
      <c r="L237" s="290">
        <f t="shared" si="77"/>
        <v>3000</v>
      </c>
      <c r="M237" s="354">
        <f>+J237/L237</f>
        <v>0</v>
      </c>
      <c r="N237" s="353"/>
      <c r="O237" s="431"/>
      <c r="P237" s="119"/>
      <c r="Q237" s="119"/>
      <c r="R237" s="119"/>
      <c r="S237" s="119"/>
      <c r="T237" s="119"/>
      <c r="U237" s="119"/>
      <c r="V237" s="119"/>
      <c r="W237" s="356"/>
      <c r="X237" s="290"/>
      <c r="Y237" s="119">
        <v>3000</v>
      </c>
      <c r="Z237" s="119"/>
      <c r="AA237" s="119"/>
      <c r="AB237" s="119"/>
      <c r="AC237" s="119"/>
      <c r="AD237" s="119"/>
      <c r="AE237" s="355"/>
      <c r="AF237" s="356"/>
    </row>
    <row r="238" spans="1:103" outlineLevel="1" x14ac:dyDescent="0.25">
      <c r="A238" s="515" t="s">
        <v>181</v>
      </c>
      <c r="B238" s="516" t="s">
        <v>1423</v>
      </c>
      <c r="C238" s="431"/>
      <c r="D238" s="119">
        <v>7000</v>
      </c>
      <c r="E238" s="110"/>
      <c r="F238" s="119"/>
      <c r="G238" s="294"/>
      <c r="H238" s="490"/>
      <c r="I238" s="290"/>
      <c r="J238" s="119">
        <f t="shared" si="98"/>
        <v>7000</v>
      </c>
      <c r="K238" s="290"/>
      <c r="L238" s="290"/>
      <c r="M238" s="354"/>
      <c r="N238" s="353"/>
      <c r="O238" s="431"/>
      <c r="P238" s="119">
        <v>7000</v>
      </c>
      <c r="Q238" s="119"/>
      <c r="R238" s="119"/>
      <c r="S238" s="119"/>
      <c r="T238" s="119"/>
      <c r="U238" s="119"/>
      <c r="V238" s="119"/>
      <c r="W238" s="356"/>
      <c r="X238" s="290"/>
      <c r="Y238" s="119"/>
      <c r="Z238" s="119"/>
      <c r="AA238" s="119"/>
      <c r="AB238" s="119"/>
      <c r="AC238" s="119"/>
      <c r="AD238" s="119"/>
      <c r="AE238" s="355"/>
      <c r="AF238" s="356"/>
    </row>
    <row r="239" spans="1:103" outlineLevel="1" x14ac:dyDescent="0.25">
      <c r="A239" s="352" t="s">
        <v>1069</v>
      </c>
      <c r="B239" s="475" t="s">
        <v>47</v>
      </c>
      <c r="C239" s="431">
        <f>1038.25+94.66</f>
        <v>1132.9100000000001</v>
      </c>
      <c r="D239" s="119"/>
      <c r="E239" s="110">
        <v>1815.3</v>
      </c>
      <c r="F239" s="119"/>
      <c r="G239" s="294"/>
      <c r="H239" s="490">
        <f>+F239/C239</f>
        <v>0</v>
      </c>
      <c r="I239" s="290"/>
      <c r="J239" s="119">
        <f t="shared" si="98"/>
        <v>0</v>
      </c>
      <c r="K239" s="290"/>
      <c r="L239" s="290">
        <f t="shared" si="77"/>
        <v>0</v>
      </c>
      <c r="M239" s="354"/>
      <c r="N239" s="353"/>
      <c r="O239" s="431"/>
      <c r="P239" s="119"/>
      <c r="Q239" s="119"/>
      <c r="R239" s="119"/>
      <c r="S239" s="119"/>
      <c r="T239" s="119"/>
      <c r="U239" s="119"/>
      <c r="V239" s="119"/>
      <c r="W239" s="356"/>
      <c r="X239" s="290"/>
      <c r="Y239" s="119"/>
      <c r="Z239" s="119"/>
      <c r="AA239" s="119"/>
      <c r="AB239" s="119"/>
      <c r="AC239" s="119"/>
      <c r="AD239" s="119"/>
      <c r="AE239" s="355"/>
      <c r="AF239" s="356"/>
    </row>
    <row r="240" spans="1:103" s="351" customFormat="1" ht="15.75" x14ac:dyDescent="0.25">
      <c r="A240" s="345" t="s">
        <v>182</v>
      </c>
      <c r="B240" s="474" t="s">
        <v>315</v>
      </c>
      <c r="C240" s="430">
        <f>+C241+C242+C243+C246</f>
        <v>7514.11</v>
      </c>
      <c r="D240" s="455">
        <f>+D241+D242+D243+D246</f>
        <v>6500</v>
      </c>
      <c r="E240" s="274">
        <f>+E241+E242+E243+E246+E244+E245</f>
        <v>5032.119999999999</v>
      </c>
      <c r="F240" s="455">
        <f>+F241+F242+F243+F246+F244+F245</f>
        <v>4800</v>
      </c>
      <c r="G240" s="292">
        <f t="shared" si="93"/>
        <v>1.3541666666666667</v>
      </c>
      <c r="H240" s="489">
        <f>+F240/C240</f>
        <v>0.63879820763869577</v>
      </c>
      <c r="I240" s="349"/>
      <c r="J240" s="347">
        <f>SUM(J241:J246)</f>
        <v>6500</v>
      </c>
      <c r="K240" s="291"/>
      <c r="L240" s="291">
        <f t="shared" si="77"/>
        <v>4800</v>
      </c>
      <c r="M240" s="348">
        <f>+J240/L240</f>
        <v>1.3541666666666667</v>
      </c>
      <c r="N240" s="392"/>
      <c r="O240" s="430">
        <f>SUM(O241:O246)</f>
        <v>0</v>
      </c>
      <c r="P240" s="455">
        <f t="shared" ref="P240:W240" si="99">SUM(P241:P246)</f>
        <v>0</v>
      </c>
      <c r="Q240" s="455">
        <f t="shared" si="99"/>
        <v>0</v>
      </c>
      <c r="R240" s="455">
        <f t="shared" si="99"/>
        <v>0</v>
      </c>
      <c r="S240" s="455">
        <f t="shared" si="99"/>
        <v>0</v>
      </c>
      <c r="T240" s="455">
        <f t="shared" si="99"/>
        <v>0</v>
      </c>
      <c r="U240" s="455">
        <f t="shared" si="99"/>
        <v>0</v>
      </c>
      <c r="V240" s="455">
        <f t="shared" si="99"/>
        <v>6500</v>
      </c>
      <c r="W240" s="350">
        <f t="shared" si="99"/>
        <v>0</v>
      </c>
      <c r="X240" s="349">
        <f>SUM(X241:X242)</f>
        <v>0</v>
      </c>
      <c r="Y240" s="455">
        <f>SUM(Y241:Y242)</f>
        <v>0</v>
      </c>
      <c r="Z240" s="455">
        <f>+Z241+Z242+Z246</f>
        <v>0</v>
      </c>
      <c r="AA240" s="455">
        <f>SUM(AA241:AA242)</f>
        <v>0</v>
      </c>
      <c r="AB240" s="455">
        <f>SUM(AB241:AB242)</f>
        <v>0</v>
      </c>
      <c r="AC240" s="455">
        <f>SUM(AC241:AC242)</f>
        <v>0</v>
      </c>
      <c r="AD240" s="455">
        <f>SUM(AD241:AD242)</f>
        <v>0</v>
      </c>
      <c r="AE240" s="455">
        <f>+AE241+AE242+AE243+AE246+AE244+AE245</f>
        <v>4800</v>
      </c>
      <c r="AF240" s="350">
        <f>SUM(AF241:AF242)</f>
        <v>0</v>
      </c>
      <c r="AG240" s="293"/>
      <c r="AH240" s="293"/>
      <c r="AI240" s="293"/>
      <c r="AJ240" s="293"/>
      <c r="AK240" s="293"/>
      <c r="AL240" s="293"/>
      <c r="AM240" s="293"/>
      <c r="AN240" s="293"/>
      <c r="AO240" s="293"/>
      <c r="AP240" s="293"/>
      <c r="AQ240" s="293"/>
      <c r="AR240" s="293"/>
      <c r="AS240" s="293"/>
      <c r="AT240" s="293"/>
      <c r="AU240" s="293"/>
      <c r="AV240" s="293"/>
      <c r="AW240" s="293"/>
      <c r="AX240" s="293"/>
      <c r="AY240" s="293"/>
      <c r="AZ240" s="293"/>
      <c r="BA240" s="293"/>
      <c r="BB240" s="293"/>
      <c r="BC240" s="293"/>
      <c r="BD240" s="293"/>
      <c r="BE240" s="293"/>
      <c r="BF240" s="293"/>
      <c r="BG240" s="293"/>
      <c r="BH240" s="293"/>
      <c r="BI240" s="293"/>
      <c r="BJ240" s="293"/>
      <c r="BK240" s="293"/>
      <c r="BL240" s="293"/>
      <c r="BM240" s="293"/>
      <c r="BN240" s="293"/>
      <c r="BO240" s="293"/>
      <c r="BP240" s="293"/>
      <c r="BQ240" s="293"/>
      <c r="BR240" s="293"/>
      <c r="BS240" s="293"/>
      <c r="BT240" s="293"/>
      <c r="BU240" s="293"/>
      <c r="BV240" s="293"/>
      <c r="BW240" s="293"/>
      <c r="BX240" s="293"/>
      <c r="BY240" s="293"/>
      <c r="BZ240" s="293"/>
      <c r="CA240" s="293"/>
      <c r="CB240" s="293"/>
      <c r="CC240" s="293"/>
      <c r="CD240" s="293"/>
      <c r="CE240" s="293"/>
      <c r="CF240" s="293"/>
      <c r="CG240" s="293"/>
      <c r="CH240" s="293"/>
      <c r="CI240" s="293"/>
      <c r="CJ240" s="293"/>
      <c r="CK240" s="293"/>
      <c r="CL240" s="293"/>
      <c r="CM240" s="293"/>
      <c r="CN240" s="293"/>
      <c r="CO240" s="293"/>
      <c r="CP240" s="293"/>
      <c r="CQ240" s="293"/>
      <c r="CR240" s="293"/>
      <c r="CS240" s="293"/>
      <c r="CT240" s="293"/>
      <c r="CU240" s="293"/>
      <c r="CV240" s="293"/>
      <c r="CW240" s="293"/>
      <c r="CX240" s="293"/>
      <c r="CY240" s="293"/>
    </row>
    <row r="241" spans="1:103" outlineLevel="1" x14ac:dyDescent="0.25">
      <c r="A241" s="352" t="s">
        <v>184</v>
      </c>
      <c r="B241" s="475" t="s">
        <v>854</v>
      </c>
      <c r="C241" s="431">
        <f>8428.99-6430.09</f>
        <v>1998.8999999999996</v>
      </c>
      <c r="D241" s="119"/>
      <c r="E241" s="110">
        <v>1548.86</v>
      </c>
      <c r="F241" s="119"/>
      <c r="G241" s="294"/>
      <c r="H241" s="490">
        <f>+F241/C241</f>
        <v>0</v>
      </c>
      <c r="I241" s="290"/>
      <c r="J241" s="119">
        <f t="shared" si="98"/>
        <v>0</v>
      </c>
      <c r="K241" s="290"/>
      <c r="L241" s="290">
        <f t="shared" si="77"/>
        <v>0</v>
      </c>
      <c r="M241" s="354"/>
      <c r="N241" s="353"/>
      <c r="O241" s="431"/>
      <c r="P241" s="119"/>
      <c r="Q241" s="119"/>
      <c r="R241" s="119"/>
      <c r="S241" s="119"/>
      <c r="T241" s="119"/>
      <c r="U241" s="119"/>
      <c r="V241" s="119"/>
      <c r="W241" s="356"/>
      <c r="X241" s="290"/>
      <c r="Y241" s="119"/>
      <c r="Z241" s="119"/>
      <c r="AA241" s="119"/>
      <c r="AB241" s="119"/>
      <c r="AC241" s="119"/>
      <c r="AD241" s="119"/>
      <c r="AE241" s="355"/>
      <c r="AF241" s="356"/>
    </row>
    <row r="242" spans="1:103" outlineLevel="1" x14ac:dyDescent="0.25">
      <c r="A242" s="352" t="s">
        <v>185</v>
      </c>
      <c r="B242" s="475" t="s">
        <v>1070</v>
      </c>
      <c r="C242" s="431">
        <v>0</v>
      </c>
      <c r="D242" s="119"/>
      <c r="E242" s="110">
        <v>237.42</v>
      </c>
      <c r="F242" s="119"/>
      <c r="G242" s="294"/>
      <c r="H242" s="490"/>
      <c r="I242" s="290"/>
      <c r="J242" s="119">
        <f t="shared" si="98"/>
        <v>0</v>
      </c>
      <c r="K242" s="290"/>
      <c r="L242" s="290">
        <f t="shared" si="77"/>
        <v>0</v>
      </c>
      <c r="M242" s="354"/>
      <c r="N242" s="353"/>
      <c r="O242" s="431"/>
      <c r="P242" s="119"/>
      <c r="Q242" s="119"/>
      <c r="R242" s="119"/>
      <c r="S242" s="119"/>
      <c r="T242" s="119"/>
      <c r="U242" s="119"/>
      <c r="V242" s="119"/>
      <c r="W242" s="356"/>
      <c r="X242" s="290"/>
      <c r="Y242" s="119"/>
      <c r="Z242" s="119"/>
      <c r="AA242" s="119"/>
      <c r="AB242" s="119"/>
      <c r="AC242" s="119"/>
      <c r="AD242" s="119"/>
      <c r="AE242" s="355"/>
      <c r="AF242" s="356"/>
    </row>
    <row r="243" spans="1:103" outlineLevel="1" x14ac:dyDescent="0.25">
      <c r="A243" s="352" t="s">
        <v>186</v>
      </c>
      <c r="B243" s="475" t="s">
        <v>1212</v>
      </c>
      <c r="C243" s="431"/>
      <c r="D243" s="119">
        <v>6500</v>
      </c>
      <c r="E243" s="110"/>
      <c r="F243" s="119"/>
      <c r="G243" s="294"/>
      <c r="H243" s="490"/>
      <c r="I243" s="290"/>
      <c r="J243" s="119">
        <f t="shared" si="98"/>
        <v>6500</v>
      </c>
      <c r="K243" s="290"/>
      <c r="L243" s="290">
        <f t="shared" si="77"/>
        <v>0</v>
      </c>
      <c r="M243" s="354"/>
      <c r="N243" s="353"/>
      <c r="O243" s="431"/>
      <c r="P243" s="119"/>
      <c r="Q243" s="119"/>
      <c r="R243" s="119"/>
      <c r="S243" s="119"/>
      <c r="T243" s="119"/>
      <c r="U243" s="119"/>
      <c r="V243" s="119">
        <v>6500</v>
      </c>
      <c r="W243" s="356"/>
      <c r="X243" s="290"/>
      <c r="Y243" s="119"/>
      <c r="Z243" s="119"/>
      <c r="AA243" s="119"/>
      <c r="AB243" s="119"/>
      <c r="AC243" s="119"/>
      <c r="AD243" s="119"/>
      <c r="AE243" s="355"/>
      <c r="AF243" s="356"/>
    </row>
    <row r="244" spans="1:103" outlineLevel="1" x14ac:dyDescent="0.25">
      <c r="A244" s="352" t="s">
        <v>1363</v>
      </c>
      <c r="B244" s="475" t="s">
        <v>1357</v>
      </c>
      <c r="C244" s="431"/>
      <c r="D244" s="119"/>
      <c r="E244" s="110"/>
      <c r="F244" s="119">
        <v>1500</v>
      </c>
      <c r="G244" s="294">
        <f t="shared" si="93"/>
        <v>0</v>
      </c>
      <c r="H244" s="490"/>
      <c r="I244" s="290"/>
      <c r="J244" s="119">
        <f t="shared" si="98"/>
        <v>0</v>
      </c>
      <c r="K244" s="290"/>
      <c r="L244" s="290">
        <f t="shared" ref="L244:L309" si="100">+X244+Y244+Z244+AA244+AB244+AC244+AD244+AE244+AF244</f>
        <v>1500</v>
      </c>
      <c r="M244" s="354">
        <f>+J244/L244</f>
        <v>0</v>
      </c>
      <c r="N244" s="353"/>
      <c r="O244" s="431"/>
      <c r="P244" s="119"/>
      <c r="Q244" s="119"/>
      <c r="R244" s="119"/>
      <c r="S244" s="119"/>
      <c r="T244" s="119"/>
      <c r="U244" s="119"/>
      <c r="V244" s="119"/>
      <c r="W244" s="356"/>
      <c r="X244" s="290"/>
      <c r="Y244" s="119"/>
      <c r="Z244" s="119"/>
      <c r="AA244" s="119"/>
      <c r="AB244" s="119"/>
      <c r="AC244" s="119"/>
      <c r="AD244" s="119"/>
      <c r="AE244" s="355">
        <v>1500</v>
      </c>
      <c r="AF244" s="356"/>
    </row>
    <row r="245" spans="1:103" outlineLevel="1" x14ac:dyDescent="0.25">
      <c r="A245" s="352" t="s">
        <v>1364</v>
      </c>
      <c r="B245" s="475" t="s">
        <v>1356</v>
      </c>
      <c r="C245" s="431"/>
      <c r="D245" s="119"/>
      <c r="E245" s="110">
        <f>4510.4-3482.1</f>
        <v>1028.2999999999997</v>
      </c>
      <c r="F245" s="119">
        <v>3300</v>
      </c>
      <c r="G245" s="294">
        <f t="shared" si="93"/>
        <v>0</v>
      </c>
      <c r="H245" s="490"/>
      <c r="I245" s="290"/>
      <c r="J245" s="119">
        <f t="shared" si="98"/>
        <v>0</v>
      </c>
      <c r="K245" s="290"/>
      <c r="L245" s="290">
        <f t="shared" si="100"/>
        <v>3300</v>
      </c>
      <c r="M245" s="354">
        <f>+J245/L245</f>
        <v>0</v>
      </c>
      <c r="N245" s="353"/>
      <c r="O245" s="431"/>
      <c r="P245" s="119"/>
      <c r="Q245" s="119"/>
      <c r="R245" s="119"/>
      <c r="S245" s="119"/>
      <c r="T245" s="119"/>
      <c r="U245" s="119"/>
      <c r="V245" s="119"/>
      <c r="W245" s="356"/>
      <c r="X245" s="290"/>
      <c r="Y245" s="119"/>
      <c r="Z245" s="119"/>
      <c r="AA245" s="119"/>
      <c r="AB245" s="119"/>
      <c r="AC245" s="119"/>
      <c r="AD245" s="119"/>
      <c r="AE245" s="355">
        <v>3300</v>
      </c>
      <c r="AF245" s="356"/>
    </row>
    <row r="246" spans="1:103" outlineLevel="1" x14ac:dyDescent="0.25">
      <c r="A246" s="352" t="s">
        <v>1071</v>
      </c>
      <c r="B246" s="475" t="s">
        <v>47</v>
      </c>
      <c r="C246" s="431">
        <v>5515.21</v>
      </c>
      <c r="D246" s="119"/>
      <c r="E246" s="110">
        <f>2208.29+9.25</f>
        <v>2217.54</v>
      </c>
      <c r="F246" s="119"/>
      <c r="G246" s="294"/>
      <c r="H246" s="490">
        <f t="shared" ref="H246:H253" si="101">+F246/C246</f>
        <v>0</v>
      </c>
      <c r="I246" s="290"/>
      <c r="J246" s="119">
        <f t="shared" si="98"/>
        <v>0</v>
      </c>
      <c r="K246" s="290"/>
      <c r="L246" s="290">
        <f t="shared" si="100"/>
        <v>0</v>
      </c>
      <c r="M246" s="354"/>
      <c r="N246" s="353"/>
      <c r="O246" s="431"/>
      <c r="P246" s="119"/>
      <c r="Q246" s="119"/>
      <c r="R246" s="119"/>
      <c r="S246" s="119"/>
      <c r="T246" s="119"/>
      <c r="U246" s="119"/>
      <c r="V246" s="119"/>
      <c r="W246" s="356"/>
      <c r="X246" s="290"/>
      <c r="Y246" s="119"/>
      <c r="Z246" s="119"/>
      <c r="AA246" s="119"/>
      <c r="AB246" s="119"/>
      <c r="AC246" s="119"/>
      <c r="AD246" s="119"/>
      <c r="AE246" s="355"/>
      <c r="AF246" s="356"/>
    </row>
    <row r="247" spans="1:103" s="351" customFormat="1" ht="15.75" x14ac:dyDescent="0.25">
      <c r="A247" s="345" t="s">
        <v>187</v>
      </c>
      <c r="B247" s="474" t="s">
        <v>227</v>
      </c>
      <c r="C247" s="430">
        <f>+C248+C249+C250+C251+C252</f>
        <v>19339.79</v>
      </c>
      <c r="D247" s="455">
        <f>+D248+D249+D250+D251+D252</f>
        <v>24030</v>
      </c>
      <c r="E247" s="274">
        <f>+E248+E249+E250+E251+E252</f>
        <v>21825.37</v>
      </c>
      <c r="F247" s="455">
        <f>+F248+F249+F250+F251+F252</f>
        <v>30300</v>
      </c>
      <c r="G247" s="292">
        <f t="shared" si="93"/>
        <v>0.79306930693069311</v>
      </c>
      <c r="H247" s="489">
        <f t="shared" si="101"/>
        <v>1.5667181494731846</v>
      </c>
      <c r="I247" s="349"/>
      <c r="J247" s="347">
        <f>SUM(J248:J252)</f>
        <v>40000</v>
      </c>
      <c r="K247" s="291"/>
      <c r="L247" s="291">
        <f t="shared" si="100"/>
        <v>40000</v>
      </c>
      <c r="M247" s="348">
        <f>+J247/L247</f>
        <v>1</v>
      </c>
      <c r="N247" s="392"/>
      <c r="O247" s="430">
        <f>SUM(O248:O252)</f>
        <v>0</v>
      </c>
      <c r="P247" s="455">
        <f t="shared" ref="P247:W247" si="102">SUM(P248:P252)</f>
        <v>40000</v>
      </c>
      <c r="Q247" s="455">
        <f t="shared" si="102"/>
        <v>0</v>
      </c>
      <c r="R247" s="455">
        <f t="shared" si="102"/>
        <v>0</v>
      </c>
      <c r="S247" s="455">
        <f t="shared" si="102"/>
        <v>0</v>
      </c>
      <c r="T247" s="455">
        <f t="shared" si="102"/>
        <v>0</v>
      </c>
      <c r="U247" s="455">
        <f t="shared" si="102"/>
        <v>0</v>
      </c>
      <c r="V247" s="455">
        <f t="shared" si="102"/>
        <v>0</v>
      </c>
      <c r="W247" s="350">
        <f t="shared" si="102"/>
        <v>0</v>
      </c>
      <c r="X247" s="349">
        <f t="shared" ref="X247:AF247" si="103">SUM(X248:X252)</f>
        <v>0</v>
      </c>
      <c r="Y247" s="455">
        <f t="shared" si="103"/>
        <v>40000</v>
      </c>
      <c r="Z247" s="455">
        <f t="shared" si="103"/>
        <v>0</v>
      </c>
      <c r="AA247" s="455">
        <f t="shared" si="103"/>
        <v>0</v>
      </c>
      <c r="AB247" s="455">
        <f t="shared" si="103"/>
        <v>0</v>
      </c>
      <c r="AC247" s="455">
        <f t="shared" si="103"/>
        <v>0</v>
      </c>
      <c r="AD247" s="455">
        <f t="shared" si="103"/>
        <v>0</v>
      </c>
      <c r="AE247" s="455">
        <f t="shared" si="103"/>
        <v>0</v>
      </c>
      <c r="AF247" s="350">
        <f t="shared" si="103"/>
        <v>0</v>
      </c>
      <c r="AG247" s="293"/>
      <c r="AH247" s="293"/>
      <c r="AI247" s="293"/>
      <c r="AJ247" s="293"/>
      <c r="AK247" s="293"/>
      <c r="AL247" s="293"/>
      <c r="AM247" s="293"/>
      <c r="AN247" s="293"/>
      <c r="AO247" s="293"/>
      <c r="AP247" s="293"/>
      <c r="AQ247" s="293"/>
      <c r="AR247" s="293"/>
      <c r="AS247" s="293"/>
      <c r="AT247" s="293"/>
      <c r="AU247" s="293"/>
      <c r="AV247" s="293"/>
      <c r="AW247" s="293"/>
      <c r="AX247" s="293"/>
      <c r="AY247" s="293"/>
      <c r="AZ247" s="293"/>
      <c r="BA247" s="293"/>
      <c r="BB247" s="293"/>
      <c r="BC247" s="293"/>
      <c r="BD247" s="293"/>
      <c r="BE247" s="293"/>
      <c r="BF247" s="293"/>
      <c r="BG247" s="293"/>
      <c r="BH247" s="293"/>
      <c r="BI247" s="293"/>
      <c r="BJ247" s="293"/>
      <c r="BK247" s="293"/>
      <c r="BL247" s="293"/>
      <c r="BM247" s="293"/>
      <c r="BN247" s="293"/>
      <c r="BO247" s="293"/>
      <c r="BP247" s="293"/>
      <c r="BQ247" s="293"/>
      <c r="BR247" s="293"/>
      <c r="BS247" s="293"/>
      <c r="BT247" s="293"/>
      <c r="BU247" s="293"/>
      <c r="BV247" s="293"/>
      <c r="BW247" s="293"/>
      <c r="BX247" s="293"/>
      <c r="BY247" s="293"/>
      <c r="BZ247" s="293"/>
      <c r="CA247" s="293"/>
      <c r="CB247" s="293"/>
      <c r="CC247" s="293"/>
      <c r="CD247" s="293"/>
      <c r="CE247" s="293"/>
      <c r="CF247" s="293"/>
      <c r="CG247" s="293"/>
      <c r="CH247" s="293"/>
      <c r="CI247" s="293"/>
      <c r="CJ247" s="293"/>
      <c r="CK247" s="293"/>
      <c r="CL247" s="293"/>
      <c r="CM247" s="293"/>
      <c r="CN247" s="293"/>
      <c r="CO247" s="293"/>
      <c r="CP247" s="293"/>
      <c r="CQ247" s="293"/>
      <c r="CR247" s="293"/>
      <c r="CS247" s="293"/>
      <c r="CT247" s="293"/>
      <c r="CU247" s="293"/>
      <c r="CV247" s="293"/>
      <c r="CW247" s="293"/>
      <c r="CX247" s="293"/>
      <c r="CY247" s="293"/>
    </row>
    <row r="248" spans="1:103" outlineLevel="1" x14ac:dyDescent="0.25">
      <c r="A248" s="352" t="s">
        <v>189</v>
      </c>
      <c r="B248" s="475" t="s">
        <v>929</v>
      </c>
      <c r="C248" s="431">
        <v>1948.8</v>
      </c>
      <c r="D248" s="119">
        <f>1130+800</f>
        <v>1930</v>
      </c>
      <c r="E248" s="110">
        <v>1130.02</v>
      </c>
      <c r="F248" s="119">
        <v>1200</v>
      </c>
      <c r="G248" s="294">
        <f t="shared" si="93"/>
        <v>1.6083333333333334</v>
      </c>
      <c r="H248" s="490">
        <f t="shared" si="101"/>
        <v>0.61576354679802958</v>
      </c>
      <c r="I248" s="290"/>
      <c r="J248" s="119">
        <f t="shared" si="98"/>
        <v>3000</v>
      </c>
      <c r="K248" s="290"/>
      <c r="L248" s="290">
        <f t="shared" si="100"/>
        <v>3000</v>
      </c>
      <c r="M248" s="354">
        <f>+J248/L248</f>
        <v>1</v>
      </c>
      <c r="N248" s="353"/>
      <c r="O248" s="431"/>
      <c r="P248" s="119">
        <v>3000</v>
      </c>
      <c r="Q248" s="119"/>
      <c r="R248" s="119"/>
      <c r="S248" s="119"/>
      <c r="T248" s="119"/>
      <c r="U248" s="119"/>
      <c r="V248" s="119"/>
      <c r="W248" s="356"/>
      <c r="X248" s="290"/>
      <c r="Y248" s="119">
        <v>3000</v>
      </c>
      <c r="Z248" s="119"/>
      <c r="AA248" s="119"/>
      <c r="AB248" s="119"/>
      <c r="AC248" s="119"/>
      <c r="AD248" s="119"/>
      <c r="AE248" s="355"/>
      <c r="AF248" s="356"/>
    </row>
    <row r="249" spans="1:103" outlineLevel="1" x14ac:dyDescent="0.25">
      <c r="A249" s="352" t="s">
        <v>190</v>
      </c>
      <c r="B249" s="475" t="s">
        <v>930</v>
      </c>
      <c r="C249" s="431">
        <v>13563.02</v>
      </c>
      <c r="D249" s="119">
        <v>19000</v>
      </c>
      <c r="E249" s="110">
        <v>18255.3</v>
      </c>
      <c r="F249" s="119">
        <v>24000</v>
      </c>
      <c r="G249" s="294">
        <f t="shared" si="93"/>
        <v>0.79166666666666663</v>
      </c>
      <c r="H249" s="490">
        <f t="shared" si="101"/>
        <v>1.7695174083648038</v>
      </c>
      <c r="I249" s="290"/>
      <c r="J249" s="119">
        <f t="shared" si="98"/>
        <v>28000</v>
      </c>
      <c r="K249" s="290"/>
      <c r="L249" s="290">
        <f t="shared" si="100"/>
        <v>28000</v>
      </c>
      <c r="M249" s="354">
        <f>+J249/L249</f>
        <v>1</v>
      </c>
      <c r="N249" s="353"/>
      <c r="O249" s="431"/>
      <c r="P249" s="119">
        <v>28000</v>
      </c>
      <c r="Q249" s="119"/>
      <c r="R249" s="119"/>
      <c r="S249" s="119"/>
      <c r="T249" s="119"/>
      <c r="U249" s="119"/>
      <c r="V249" s="119"/>
      <c r="W249" s="356"/>
      <c r="X249" s="290"/>
      <c r="Y249" s="119">
        <v>28000</v>
      </c>
      <c r="Z249" s="119"/>
      <c r="AA249" s="119"/>
      <c r="AB249" s="119"/>
      <c r="AC249" s="119"/>
      <c r="AD249" s="119"/>
      <c r="AE249" s="355"/>
      <c r="AF249" s="356"/>
    </row>
    <row r="250" spans="1:103" outlineLevel="1" x14ac:dyDescent="0.25">
      <c r="A250" s="352" t="s">
        <v>191</v>
      </c>
      <c r="B250" s="475" t="s">
        <v>931</v>
      </c>
      <c r="C250" s="431">
        <v>825</v>
      </c>
      <c r="D250" s="119">
        <v>1000</v>
      </c>
      <c r="E250" s="110">
        <v>825</v>
      </c>
      <c r="F250" s="119">
        <v>3000</v>
      </c>
      <c r="G250" s="294">
        <f t="shared" si="93"/>
        <v>0.33333333333333331</v>
      </c>
      <c r="H250" s="490">
        <f t="shared" si="101"/>
        <v>3.6363636363636362</v>
      </c>
      <c r="I250" s="290"/>
      <c r="J250" s="119">
        <f t="shared" si="98"/>
        <v>5000</v>
      </c>
      <c r="K250" s="290"/>
      <c r="L250" s="290">
        <f t="shared" si="100"/>
        <v>5000</v>
      </c>
      <c r="M250" s="354">
        <f>+J250/L250</f>
        <v>1</v>
      </c>
      <c r="N250" s="353"/>
      <c r="O250" s="431"/>
      <c r="P250" s="119">
        <v>5000</v>
      </c>
      <c r="Q250" s="119"/>
      <c r="R250" s="119"/>
      <c r="S250" s="119"/>
      <c r="T250" s="119"/>
      <c r="U250" s="119"/>
      <c r="V250" s="119"/>
      <c r="W250" s="356"/>
      <c r="X250" s="290"/>
      <c r="Y250" s="119">
        <v>5000</v>
      </c>
      <c r="Z250" s="119"/>
      <c r="AA250" s="119"/>
      <c r="AB250" s="119"/>
      <c r="AC250" s="119"/>
      <c r="AD250" s="119"/>
      <c r="AE250" s="355"/>
      <c r="AF250" s="356"/>
    </row>
    <row r="251" spans="1:103" outlineLevel="1" x14ac:dyDescent="0.25">
      <c r="A251" s="352" t="s">
        <v>192</v>
      </c>
      <c r="B251" s="475" t="s">
        <v>932</v>
      </c>
      <c r="C251" s="431">
        <v>2475.06</v>
      </c>
      <c r="D251" s="119">
        <v>2100</v>
      </c>
      <c r="E251" s="110">
        <v>1496.87</v>
      </c>
      <c r="F251" s="119">
        <v>2100</v>
      </c>
      <c r="G251" s="294">
        <f t="shared" si="93"/>
        <v>1</v>
      </c>
      <c r="H251" s="490">
        <f t="shared" si="101"/>
        <v>0.84846427965382665</v>
      </c>
      <c r="I251" s="290"/>
      <c r="J251" s="119">
        <f t="shared" si="98"/>
        <v>4000</v>
      </c>
      <c r="K251" s="290"/>
      <c r="L251" s="290">
        <f t="shared" si="100"/>
        <v>4000</v>
      </c>
      <c r="M251" s="354">
        <f>+J251/L251</f>
        <v>1</v>
      </c>
      <c r="N251" s="353"/>
      <c r="O251" s="431"/>
      <c r="P251" s="119">
        <v>4000</v>
      </c>
      <c r="Q251" s="119"/>
      <c r="R251" s="119"/>
      <c r="S251" s="119"/>
      <c r="T251" s="119"/>
      <c r="U251" s="119"/>
      <c r="V251" s="119"/>
      <c r="W251" s="356"/>
      <c r="X251" s="290"/>
      <c r="Y251" s="119">
        <v>4000</v>
      </c>
      <c r="Z251" s="119"/>
      <c r="AA251" s="119"/>
      <c r="AB251" s="119"/>
      <c r="AC251" s="119"/>
      <c r="AD251" s="119"/>
      <c r="AE251" s="355"/>
      <c r="AF251" s="356"/>
    </row>
    <row r="252" spans="1:103" outlineLevel="1" x14ac:dyDescent="0.25">
      <c r="A252" s="352" t="s">
        <v>1072</v>
      </c>
      <c r="B252" s="475" t="s">
        <v>47</v>
      </c>
      <c r="C252" s="431">
        <v>527.91</v>
      </c>
      <c r="D252" s="119"/>
      <c r="E252" s="110">
        <v>118.18</v>
      </c>
      <c r="F252" s="119"/>
      <c r="G252" s="294"/>
      <c r="H252" s="490">
        <f t="shared" si="101"/>
        <v>0</v>
      </c>
      <c r="I252" s="290"/>
      <c r="J252" s="119">
        <f t="shared" si="98"/>
        <v>0</v>
      </c>
      <c r="K252" s="290"/>
      <c r="L252" s="290">
        <f t="shared" si="100"/>
        <v>0</v>
      </c>
      <c r="M252" s="354"/>
      <c r="N252" s="353"/>
      <c r="O252" s="431"/>
      <c r="P252" s="119"/>
      <c r="Q252" s="119"/>
      <c r="R252" s="119"/>
      <c r="S252" s="119"/>
      <c r="T252" s="119"/>
      <c r="U252" s="119"/>
      <c r="V252" s="119"/>
      <c r="W252" s="356"/>
      <c r="X252" s="290"/>
      <c r="Y252" s="119"/>
      <c r="Z252" s="119"/>
      <c r="AA252" s="119"/>
      <c r="AB252" s="119"/>
      <c r="AC252" s="119"/>
      <c r="AD252" s="119"/>
      <c r="AE252" s="355"/>
      <c r="AF252" s="356"/>
    </row>
    <row r="253" spans="1:103" s="351" customFormat="1" ht="15.75" x14ac:dyDescent="0.25">
      <c r="A253" s="345" t="s">
        <v>194</v>
      </c>
      <c r="B253" s="474" t="s">
        <v>317</v>
      </c>
      <c r="C253" s="430">
        <f>+SUM(C254:C264)</f>
        <v>71423.23000000001</v>
      </c>
      <c r="D253" s="455">
        <f>+SUM(D254:D264)</f>
        <v>108935</v>
      </c>
      <c r="E253" s="274">
        <f>+SUM(E254:E264)</f>
        <v>31957.62</v>
      </c>
      <c r="F253" s="455">
        <f>+SUM(F254:F264)</f>
        <v>99140</v>
      </c>
      <c r="G253" s="292">
        <f t="shared" si="93"/>
        <v>1.0987996772241275</v>
      </c>
      <c r="H253" s="489">
        <f t="shared" si="101"/>
        <v>1.3880637994109197</v>
      </c>
      <c r="I253" s="349"/>
      <c r="J253" s="347">
        <f>SUM(J254:J264)</f>
        <v>108935</v>
      </c>
      <c r="K253" s="391"/>
      <c r="L253" s="391">
        <f t="shared" si="100"/>
        <v>99140</v>
      </c>
      <c r="M253" s="392">
        <f>+J253/L253</f>
        <v>1.0987996772241275</v>
      </c>
      <c r="N253" s="392"/>
      <c r="O253" s="430">
        <f>SUM(O254:O264)</f>
        <v>0</v>
      </c>
      <c r="P253" s="455">
        <f t="shared" ref="P253:W253" si="104">SUM(P254:P264)</f>
        <v>108935</v>
      </c>
      <c r="Q253" s="455">
        <f t="shared" si="104"/>
        <v>0</v>
      </c>
      <c r="R253" s="455">
        <f t="shared" si="104"/>
        <v>0</v>
      </c>
      <c r="S253" s="455">
        <f t="shared" si="104"/>
        <v>0</v>
      </c>
      <c r="T253" s="455">
        <f t="shared" si="104"/>
        <v>0</v>
      </c>
      <c r="U253" s="455">
        <f t="shared" si="104"/>
        <v>0</v>
      </c>
      <c r="V253" s="455">
        <f t="shared" si="104"/>
        <v>0</v>
      </c>
      <c r="W253" s="350">
        <f t="shared" si="104"/>
        <v>0</v>
      </c>
      <c r="X253" s="514">
        <f t="shared" ref="X253:AF253" si="105">SUM(X254:X262)</f>
        <v>0</v>
      </c>
      <c r="Y253" s="393">
        <f t="shared" si="105"/>
        <v>99140</v>
      </c>
      <c r="Z253" s="393">
        <f t="shared" si="105"/>
        <v>0</v>
      </c>
      <c r="AA253" s="393">
        <f t="shared" si="105"/>
        <v>0</v>
      </c>
      <c r="AB253" s="393">
        <f t="shared" si="105"/>
        <v>0</v>
      </c>
      <c r="AC253" s="393">
        <f t="shared" si="105"/>
        <v>0</v>
      </c>
      <c r="AD253" s="393">
        <f t="shared" si="105"/>
        <v>0</v>
      </c>
      <c r="AE253" s="393">
        <f t="shared" si="105"/>
        <v>0</v>
      </c>
      <c r="AF253" s="350">
        <f t="shared" si="105"/>
        <v>0</v>
      </c>
      <c r="AG253" s="293"/>
      <c r="AH253" s="293"/>
      <c r="AI253" s="293"/>
      <c r="AJ253" s="293"/>
      <c r="AK253" s="293"/>
      <c r="AL253" s="293"/>
      <c r="AM253" s="293"/>
      <c r="AN253" s="293"/>
      <c r="AO253" s="293"/>
      <c r="AP253" s="293"/>
      <c r="AQ253" s="293"/>
      <c r="AR253" s="293"/>
      <c r="AS253" s="293"/>
      <c r="AT253" s="293"/>
      <c r="AU253" s="293"/>
      <c r="AV253" s="293"/>
      <c r="AW253" s="293"/>
      <c r="AX253" s="293"/>
      <c r="AY253" s="293"/>
      <c r="AZ253" s="293"/>
      <c r="BA253" s="293"/>
      <c r="BB253" s="293"/>
      <c r="BC253" s="293"/>
      <c r="BD253" s="293"/>
      <c r="BE253" s="293"/>
      <c r="BF253" s="293"/>
      <c r="BG253" s="293"/>
      <c r="BH253" s="293"/>
      <c r="BI253" s="293"/>
      <c r="BJ253" s="293"/>
      <c r="BK253" s="293"/>
      <c r="BL253" s="293"/>
      <c r="BM253" s="293"/>
      <c r="BN253" s="293"/>
      <c r="BO253" s="293"/>
      <c r="BP253" s="293"/>
      <c r="BQ253" s="293"/>
      <c r="BR253" s="293"/>
      <c r="BS253" s="293"/>
      <c r="BT253" s="293"/>
      <c r="BU253" s="293"/>
      <c r="BV253" s="293"/>
      <c r="BW253" s="293"/>
      <c r="BX253" s="293"/>
      <c r="BY253" s="293"/>
      <c r="BZ253" s="293"/>
      <c r="CA253" s="293"/>
      <c r="CB253" s="293"/>
      <c r="CC253" s="293"/>
      <c r="CD253" s="293"/>
      <c r="CE253" s="293"/>
      <c r="CF253" s="293"/>
      <c r="CG253" s="293"/>
      <c r="CH253" s="293"/>
      <c r="CI253" s="293"/>
      <c r="CJ253" s="293"/>
      <c r="CK253" s="293"/>
      <c r="CL253" s="293"/>
      <c r="CM253" s="293"/>
      <c r="CN253" s="293"/>
      <c r="CO253" s="293"/>
      <c r="CP253" s="293"/>
      <c r="CQ253" s="293"/>
      <c r="CR253" s="293"/>
      <c r="CS253" s="293"/>
      <c r="CT253" s="293"/>
      <c r="CU253" s="293"/>
      <c r="CV253" s="293"/>
      <c r="CW253" s="293"/>
      <c r="CX253" s="293"/>
      <c r="CY253" s="293"/>
    </row>
    <row r="254" spans="1:103" outlineLevel="1" x14ac:dyDescent="0.25">
      <c r="A254" s="352" t="s">
        <v>196</v>
      </c>
      <c r="B254" s="475" t="s">
        <v>320</v>
      </c>
      <c r="C254" s="431"/>
      <c r="D254" s="119"/>
      <c r="E254" s="110"/>
      <c r="F254" s="119"/>
      <c r="G254" s="294"/>
      <c r="H254" s="490"/>
      <c r="I254" s="290"/>
      <c r="J254" s="119">
        <f t="shared" si="98"/>
        <v>0</v>
      </c>
      <c r="K254" s="290"/>
      <c r="L254" s="290">
        <f t="shared" si="100"/>
        <v>0</v>
      </c>
      <c r="M254" s="354"/>
      <c r="N254" s="353"/>
      <c r="O254" s="431"/>
      <c r="P254" s="119"/>
      <c r="Q254" s="119"/>
      <c r="R254" s="119"/>
      <c r="S254" s="119"/>
      <c r="T254" s="119"/>
      <c r="U254" s="119"/>
      <c r="V254" s="119"/>
      <c r="W254" s="356"/>
      <c r="X254" s="290"/>
      <c r="Y254" s="119"/>
      <c r="Z254" s="119"/>
      <c r="AA254" s="119"/>
      <c r="AB254" s="119"/>
      <c r="AC254" s="119"/>
      <c r="AD254" s="119"/>
      <c r="AE254" s="355"/>
      <c r="AF254" s="356"/>
    </row>
    <row r="255" spans="1:103" outlineLevel="1" x14ac:dyDescent="0.25">
      <c r="A255" s="352" t="s">
        <v>197</v>
      </c>
      <c r="B255" s="475" t="s">
        <v>318</v>
      </c>
      <c r="C255" s="431">
        <v>0</v>
      </c>
      <c r="D255" s="119">
        <f>75+240+70</f>
        <v>385</v>
      </c>
      <c r="E255" s="110">
        <f>975-525</f>
        <v>450</v>
      </c>
      <c r="F255" s="119">
        <f>+L255</f>
        <v>385</v>
      </c>
      <c r="G255" s="294">
        <f t="shared" si="93"/>
        <v>1</v>
      </c>
      <c r="H255" s="490"/>
      <c r="I255" s="290"/>
      <c r="J255" s="119">
        <f t="shared" si="98"/>
        <v>385</v>
      </c>
      <c r="K255" s="290"/>
      <c r="L255" s="290">
        <f t="shared" si="100"/>
        <v>385</v>
      </c>
      <c r="M255" s="354">
        <f>+J255/L255</f>
        <v>1</v>
      </c>
      <c r="N255" s="353"/>
      <c r="O255" s="431"/>
      <c r="P255" s="119">
        <v>385</v>
      </c>
      <c r="Q255" s="119"/>
      <c r="R255" s="119"/>
      <c r="S255" s="119"/>
      <c r="T255" s="119"/>
      <c r="U255" s="119"/>
      <c r="V255" s="119"/>
      <c r="W255" s="356"/>
      <c r="X255" s="290"/>
      <c r="Y255" s="119">
        <v>385</v>
      </c>
      <c r="Z255" s="119"/>
      <c r="AA255" s="119"/>
      <c r="AB255" s="119"/>
      <c r="AC255" s="119"/>
      <c r="AD255" s="119"/>
      <c r="AE255" s="355"/>
      <c r="AF255" s="356"/>
    </row>
    <row r="256" spans="1:103" outlineLevel="1" x14ac:dyDescent="0.25">
      <c r="A256" s="352" t="s">
        <v>198</v>
      </c>
      <c r="B256" s="475" t="s">
        <v>319</v>
      </c>
      <c r="C256" s="431">
        <v>135.18</v>
      </c>
      <c r="D256" s="119">
        <v>5000</v>
      </c>
      <c r="E256" s="110"/>
      <c r="F256" s="119">
        <f t="shared" ref="F256:F262" si="106">+L256</f>
        <v>2305</v>
      </c>
      <c r="G256" s="294">
        <f t="shared" si="93"/>
        <v>2.1691973969631237</v>
      </c>
      <c r="H256" s="490">
        <f>+F256/C256</f>
        <v>17.051338955466782</v>
      </c>
      <c r="I256" s="290"/>
      <c r="J256" s="119">
        <f t="shared" si="98"/>
        <v>5000</v>
      </c>
      <c r="K256" s="290"/>
      <c r="L256" s="290">
        <f t="shared" si="100"/>
        <v>2305</v>
      </c>
      <c r="M256" s="354">
        <f>+J256/L256</f>
        <v>2.1691973969631237</v>
      </c>
      <c r="N256" s="353"/>
      <c r="O256" s="431"/>
      <c r="P256" s="119">
        <v>5000</v>
      </c>
      <c r="Q256" s="119"/>
      <c r="R256" s="119"/>
      <c r="S256" s="119"/>
      <c r="T256" s="119"/>
      <c r="U256" s="119"/>
      <c r="V256" s="119"/>
      <c r="W256" s="356"/>
      <c r="X256" s="290"/>
      <c r="Y256" s="119">
        <v>2305</v>
      </c>
      <c r="Z256" s="119"/>
      <c r="AA256" s="119"/>
      <c r="AB256" s="119"/>
      <c r="AC256" s="119"/>
      <c r="AD256" s="119"/>
      <c r="AE256" s="355"/>
      <c r="AF256" s="356"/>
    </row>
    <row r="257" spans="1:103" outlineLevel="1" x14ac:dyDescent="0.25">
      <c r="A257" s="352" t="s">
        <v>199</v>
      </c>
      <c r="B257" s="475" t="s">
        <v>1204</v>
      </c>
      <c r="C257" s="431">
        <v>204.78</v>
      </c>
      <c r="D257" s="119"/>
      <c r="E257" s="110"/>
      <c r="F257" s="119"/>
      <c r="G257" s="294"/>
      <c r="H257" s="490">
        <f>+F257/C257</f>
        <v>0</v>
      </c>
      <c r="I257" s="290"/>
      <c r="J257" s="119">
        <f t="shared" si="98"/>
        <v>0</v>
      </c>
      <c r="K257" s="290"/>
      <c r="L257" s="290">
        <f t="shared" si="100"/>
        <v>0</v>
      </c>
      <c r="M257" s="354"/>
      <c r="N257" s="353"/>
      <c r="O257" s="431"/>
      <c r="P257" s="119"/>
      <c r="Q257" s="119"/>
      <c r="R257" s="119"/>
      <c r="S257" s="119"/>
      <c r="T257" s="119"/>
      <c r="U257" s="119"/>
      <c r="V257" s="119"/>
      <c r="W257" s="356"/>
      <c r="X257" s="290"/>
      <c r="Y257" s="119"/>
      <c r="Z257" s="119"/>
      <c r="AA257" s="119"/>
      <c r="AB257" s="119"/>
      <c r="AC257" s="119"/>
      <c r="AD257" s="119"/>
      <c r="AE257" s="355"/>
      <c r="AF257" s="356"/>
    </row>
    <row r="258" spans="1:103" outlineLevel="1" x14ac:dyDescent="0.25">
      <c r="A258" s="352" t="s">
        <v>200</v>
      </c>
      <c r="B258" s="475" t="s">
        <v>1186</v>
      </c>
      <c r="C258" s="431"/>
      <c r="D258" s="119">
        <v>1150</v>
      </c>
      <c r="E258" s="110"/>
      <c r="F258" s="119">
        <f t="shared" si="106"/>
        <v>1150</v>
      </c>
      <c r="G258" s="294">
        <f t="shared" si="93"/>
        <v>1</v>
      </c>
      <c r="H258" s="490"/>
      <c r="I258" s="290"/>
      <c r="J258" s="119">
        <f t="shared" si="98"/>
        <v>1150</v>
      </c>
      <c r="K258" s="290"/>
      <c r="L258" s="290">
        <f t="shared" si="100"/>
        <v>1150</v>
      </c>
      <c r="M258" s="354">
        <f>+J258/L258</f>
        <v>1</v>
      </c>
      <c r="N258" s="353"/>
      <c r="O258" s="431"/>
      <c r="P258" s="119">
        <v>1150</v>
      </c>
      <c r="Q258" s="119"/>
      <c r="R258" s="119"/>
      <c r="S258" s="119"/>
      <c r="T258" s="119"/>
      <c r="U258" s="119"/>
      <c r="V258" s="119"/>
      <c r="W258" s="356"/>
      <c r="X258" s="290"/>
      <c r="Y258" s="119">
        <v>1150</v>
      </c>
      <c r="Z258" s="119"/>
      <c r="AA258" s="119"/>
      <c r="AB258" s="119"/>
      <c r="AC258" s="119"/>
      <c r="AD258" s="119"/>
      <c r="AE258" s="355"/>
      <c r="AF258" s="356"/>
    </row>
    <row r="259" spans="1:103" outlineLevel="1" x14ac:dyDescent="0.25">
      <c r="A259" s="352" t="s">
        <v>1073</v>
      </c>
      <c r="B259" s="475" t="s">
        <v>1178</v>
      </c>
      <c r="C259" s="431">
        <v>242.44</v>
      </c>
      <c r="D259" s="119">
        <v>3900</v>
      </c>
      <c r="E259" s="110"/>
      <c r="F259" s="119">
        <f t="shared" si="106"/>
        <v>3900</v>
      </c>
      <c r="G259" s="294">
        <f t="shared" si="93"/>
        <v>1</v>
      </c>
      <c r="H259" s="490">
        <f>+F259/C259</f>
        <v>16.08645438046527</v>
      </c>
      <c r="I259" s="290"/>
      <c r="J259" s="119">
        <f t="shared" si="98"/>
        <v>3900</v>
      </c>
      <c r="K259" s="290"/>
      <c r="L259" s="290">
        <f t="shared" si="100"/>
        <v>3900</v>
      </c>
      <c r="M259" s="354">
        <f>+J259/L259</f>
        <v>1</v>
      </c>
      <c r="N259" s="353"/>
      <c r="O259" s="431"/>
      <c r="P259" s="119">
        <v>3900</v>
      </c>
      <c r="Q259" s="119"/>
      <c r="R259" s="119"/>
      <c r="S259" s="119"/>
      <c r="T259" s="119"/>
      <c r="U259" s="119"/>
      <c r="V259" s="119"/>
      <c r="W259" s="356"/>
      <c r="X259" s="290"/>
      <c r="Y259" s="119">
        <v>3900</v>
      </c>
      <c r="Z259" s="119"/>
      <c r="AA259" s="119"/>
      <c r="AB259" s="119"/>
      <c r="AC259" s="119"/>
      <c r="AD259" s="119"/>
      <c r="AE259" s="355"/>
      <c r="AF259" s="356"/>
    </row>
    <row r="260" spans="1:103" outlineLevel="1" x14ac:dyDescent="0.25">
      <c r="A260" s="352" t="s">
        <v>1075</v>
      </c>
      <c r="B260" s="475" t="s">
        <v>1076</v>
      </c>
      <c r="C260" s="431"/>
      <c r="D260" s="119">
        <v>500</v>
      </c>
      <c r="E260" s="110">
        <v>57.12</v>
      </c>
      <c r="F260" s="119">
        <f t="shared" si="106"/>
        <v>300</v>
      </c>
      <c r="G260" s="294">
        <f t="shared" si="93"/>
        <v>1.6666666666666667</v>
      </c>
      <c r="H260" s="490"/>
      <c r="I260" s="290"/>
      <c r="J260" s="119">
        <f t="shared" si="98"/>
        <v>500</v>
      </c>
      <c r="K260" s="290"/>
      <c r="L260" s="290">
        <f t="shared" si="100"/>
        <v>300</v>
      </c>
      <c r="M260" s="354">
        <f>+J260/L260</f>
        <v>1.6666666666666667</v>
      </c>
      <c r="N260" s="353"/>
      <c r="O260" s="431"/>
      <c r="P260" s="119">
        <v>500</v>
      </c>
      <c r="Q260" s="119"/>
      <c r="R260" s="119"/>
      <c r="S260" s="119"/>
      <c r="T260" s="119"/>
      <c r="U260" s="119"/>
      <c r="V260" s="119"/>
      <c r="W260" s="356"/>
      <c r="X260" s="290"/>
      <c r="Y260" s="119">
        <v>300</v>
      </c>
      <c r="Z260" s="119"/>
      <c r="AA260" s="119"/>
      <c r="AB260" s="119"/>
      <c r="AC260" s="119"/>
      <c r="AD260" s="119"/>
      <c r="AE260" s="355"/>
      <c r="AF260" s="356"/>
    </row>
    <row r="261" spans="1:103" outlineLevel="1" x14ac:dyDescent="0.25">
      <c r="A261" s="352" t="s">
        <v>1007</v>
      </c>
      <c r="B261" s="475" t="s">
        <v>1016</v>
      </c>
      <c r="C261" s="431">
        <v>36152.25</v>
      </c>
      <c r="D261" s="119">
        <v>18000</v>
      </c>
      <c r="E261" s="110">
        <v>17272.060000000001</v>
      </c>
      <c r="F261" s="119">
        <f t="shared" si="106"/>
        <v>11100</v>
      </c>
      <c r="G261" s="294">
        <f t="shared" si="93"/>
        <v>1.6216216216216217</v>
      </c>
      <c r="H261" s="490">
        <f>+F261/C261</f>
        <v>0.30703483185693836</v>
      </c>
      <c r="I261" s="290"/>
      <c r="J261" s="119">
        <f t="shared" si="98"/>
        <v>18000</v>
      </c>
      <c r="K261" s="290"/>
      <c r="L261" s="290">
        <f t="shared" si="100"/>
        <v>11100</v>
      </c>
      <c r="M261" s="354">
        <f>+J261/L261</f>
        <v>1.6216216216216217</v>
      </c>
      <c r="N261" s="353"/>
      <c r="O261" s="431"/>
      <c r="P261" s="119">
        <v>18000</v>
      </c>
      <c r="Q261" s="119"/>
      <c r="R261" s="119"/>
      <c r="S261" s="119"/>
      <c r="T261" s="119"/>
      <c r="U261" s="119"/>
      <c r="V261" s="119"/>
      <c r="W261" s="356"/>
      <c r="X261" s="290"/>
      <c r="Y261" s="119">
        <v>11100</v>
      </c>
      <c r="Z261" s="119"/>
      <c r="AA261" s="119"/>
      <c r="AB261" s="119"/>
      <c r="AC261" s="119"/>
      <c r="AD261" s="119"/>
      <c r="AE261" s="355"/>
      <c r="AF261" s="356"/>
    </row>
    <row r="262" spans="1:103" outlineLevel="1" x14ac:dyDescent="0.25">
      <c r="A262" s="352" t="s">
        <v>1077</v>
      </c>
      <c r="B262" s="475" t="s">
        <v>1179</v>
      </c>
      <c r="C262" s="431">
        <f>189.74+1175.84+33363-40</f>
        <v>34688.58</v>
      </c>
      <c r="D262" s="119">
        <v>80000</v>
      </c>
      <c r="E262" s="110">
        <v>14119.53</v>
      </c>
      <c r="F262" s="119">
        <f t="shared" si="106"/>
        <v>80000</v>
      </c>
      <c r="G262" s="294">
        <f t="shared" si="93"/>
        <v>1</v>
      </c>
      <c r="H262" s="490">
        <f>+F262/C262</f>
        <v>2.3062345013834524</v>
      </c>
      <c r="I262" s="290"/>
      <c r="J262" s="119">
        <f t="shared" si="98"/>
        <v>80000</v>
      </c>
      <c r="K262" s="290"/>
      <c r="L262" s="290">
        <f t="shared" si="100"/>
        <v>80000</v>
      </c>
      <c r="M262" s="354">
        <f>+J262/L262</f>
        <v>1</v>
      </c>
      <c r="N262" s="353"/>
      <c r="O262" s="431"/>
      <c r="P262" s="119">
        <v>80000</v>
      </c>
      <c r="Q262" s="119"/>
      <c r="R262" s="119"/>
      <c r="S262" s="119"/>
      <c r="T262" s="119"/>
      <c r="U262" s="119"/>
      <c r="V262" s="119"/>
      <c r="W262" s="356"/>
      <c r="X262" s="290"/>
      <c r="Y262" s="119">
        <v>80000</v>
      </c>
      <c r="Z262" s="119"/>
      <c r="AA262" s="119"/>
      <c r="AB262" s="119"/>
      <c r="AC262" s="119"/>
      <c r="AD262" s="119"/>
      <c r="AE262" s="355"/>
      <c r="AF262" s="356"/>
    </row>
    <row r="263" spans="1:103" outlineLevel="1" x14ac:dyDescent="0.25">
      <c r="A263" s="352" t="s">
        <v>1079</v>
      </c>
      <c r="B263" s="475" t="s">
        <v>1080</v>
      </c>
      <c r="C263" s="431"/>
      <c r="D263" s="119"/>
      <c r="E263" s="110"/>
      <c r="F263" s="119"/>
      <c r="G263" s="294"/>
      <c r="H263" s="490"/>
      <c r="I263" s="290"/>
      <c r="J263" s="119">
        <f t="shared" si="98"/>
        <v>0</v>
      </c>
      <c r="K263" s="290"/>
      <c r="L263" s="290">
        <f t="shared" si="100"/>
        <v>0</v>
      </c>
      <c r="M263" s="354"/>
      <c r="N263" s="353"/>
      <c r="O263" s="431"/>
      <c r="P263" s="119"/>
      <c r="Q263" s="119"/>
      <c r="R263" s="119"/>
      <c r="S263" s="119"/>
      <c r="T263" s="119"/>
      <c r="U263" s="119"/>
      <c r="V263" s="119"/>
      <c r="W263" s="356"/>
      <c r="X263" s="290"/>
      <c r="Y263" s="119"/>
      <c r="Z263" s="119"/>
      <c r="AA263" s="119"/>
      <c r="AB263" s="119"/>
      <c r="AC263" s="119"/>
      <c r="AD263" s="119"/>
      <c r="AE263" s="355"/>
      <c r="AF263" s="356"/>
    </row>
    <row r="264" spans="1:103" outlineLevel="1" x14ac:dyDescent="0.25">
      <c r="A264" s="352" t="s">
        <v>1205</v>
      </c>
      <c r="B264" s="475" t="s">
        <v>1206</v>
      </c>
      <c r="C264" s="431"/>
      <c r="D264" s="119"/>
      <c r="E264" s="110">
        <v>58.91</v>
      </c>
      <c r="F264" s="119"/>
      <c r="G264" s="294"/>
      <c r="H264" s="490"/>
      <c r="I264" s="290"/>
      <c r="J264" s="119">
        <f t="shared" si="98"/>
        <v>0</v>
      </c>
      <c r="K264" s="290"/>
      <c r="L264" s="290">
        <f t="shared" si="100"/>
        <v>0</v>
      </c>
      <c r="M264" s="354"/>
      <c r="N264" s="353"/>
      <c r="O264" s="431"/>
      <c r="P264" s="119"/>
      <c r="Q264" s="119"/>
      <c r="R264" s="119"/>
      <c r="S264" s="119"/>
      <c r="T264" s="119"/>
      <c r="U264" s="119"/>
      <c r="V264" s="119"/>
      <c r="W264" s="356"/>
      <c r="X264" s="290"/>
      <c r="Y264" s="119"/>
      <c r="Z264" s="119"/>
      <c r="AA264" s="119"/>
      <c r="AB264" s="119"/>
      <c r="AC264" s="119"/>
      <c r="AD264" s="119"/>
      <c r="AE264" s="355"/>
      <c r="AF264" s="356"/>
    </row>
    <row r="265" spans="1:103" s="351" customFormat="1" ht="15.75" x14ac:dyDescent="0.25">
      <c r="A265" s="345" t="s">
        <v>201</v>
      </c>
      <c r="B265" s="474" t="s">
        <v>322</v>
      </c>
      <c r="C265" s="430">
        <f>+C266+C267+C268+C269</f>
        <v>4218.93</v>
      </c>
      <c r="D265" s="455">
        <f>+D266+D267+D268+D269</f>
        <v>4000</v>
      </c>
      <c r="E265" s="274">
        <f>+E266+E267+E268+E269</f>
        <v>3920.9</v>
      </c>
      <c r="F265" s="455">
        <f>+F266+F267+F268+F269</f>
        <v>3850</v>
      </c>
      <c r="G265" s="292">
        <f t="shared" si="93"/>
        <v>1.0389610389610389</v>
      </c>
      <c r="H265" s="489">
        <f>+F265/C265</f>
        <v>0.9125536569698951</v>
      </c>
      <c r="I265" s="349"/>
      <c r="J265" s="347">
        <f>+J266+J267+J268+J269</f>
        <v>4000</v>
      </c>
      <c r="K265" s="291"/>
      <c r="L265" s="291">
        <f t="shared" si="100"/>
        <v>3850</v>
      </c>
      <c r="M265" s="348">
        <f>+J265/L265</f>
        <v>1.0389610389610389</v>
      </c>
      <c r="N265" s="392"/>
      <c r="O265" s="430">
        <f>SUM(O266:O269)</f>
        <v>0</v>
      </c>
      <c r="P265" s="455">
        <f t="shared" ref="P265:W265" si="107">SUM(P266:P269)</f>
        <v>4000</v>
      </c>
      <c r="Q265" s="455">
        <f t="shared" si="107"/>
        <v>0</v>
      </c>
      <c r="R265" s="455">
        <f t="shared" si="107"/>
        <v>0</v>
      </c>
      <c r="S265" s="455">
        <f t="shared" si="107"/>
        <v>0</v>
      </c>
      <c r="T265" s="455">
        <f t="shared" si="107"/>
        <v>0</v>
      </c>
      <c r="U265" s="455">
        <f t="shared" si="107"/>
        <v>0</v>
      </c>
      <c r="V265" s="455">
        <f t="shared" si="107"/>
        <v>0</v>
      </c>
      <c r="W265" s="350">
        <f t="shared" si="107"/>
        <v>0</v>
      </c>
      <c r="X265" s="349">
        <f>SUM(X266:X269)</f>
        <v>0</v>
      </c>
      <c r="Y265" s="349">
        <f t="shared" ref="Y265:AF265" si="108">SUM(Y266:Y269)</f>
        <v>3850</v>
      </c>
      <c r="Z265" s="349">
        <f t="shared" si="108"/>
        <v>0</v>
      </c>
      <c r="AA265" s="349">
        <f t="shared" si="108"/>
        <v>0</v>
      </c>
      <c r="AB265" s="349">
        <f t="shared" si="108"/>
        <v>0</v>
      </c>
      <c r="AC265" s="349">
        <f t="shared" si="108"/>
        <v>0</v>
      </c>
      <c r="AD265" s="349">
        <f t="shared" si="108"/>
        <v>0</v>
      </c>
      <c r="AE265" s="349">
        <f t="shared" si="108"/>
        <v>0</v>
      </c>
      <c r="AF265" s="359">
        <f t="shared" si="108"/>
        <v>0</v>
      </c>
      <c r="AG265" s="293"/>
      <c r="AH265" s="293"/>
      <c r="AI265" s="293"/>
      <c r="AJ265" s="293"/>
      <c r="AK265" s="293"/>
      <c r="AL265" s="293"/>
      <c r="AM265" s="293"/>
      <c r="AN265" s="293"/>
      <c r="AO265" s="293"/>
      <c r="AP265" s="293"/>
      <c r="AQ265" s="293"/>
      <c r="AR265" s="293"/>
      <c r="AS265" s="293"/>
      <c r="AT265" s="293"/>
      <c r="AU265" s="293"/>
      <c r="AV265" s="293"/>
      <c r="AW265" s="293"/>
      <c r="AX265" s="293"/>
      <c r="AY265" s="293"/>
      <c r="AZ265" s="293"/>
      <c r="BA265" s="293"/>
      <c r="BB265" s="293"/>
      <c r="BC265" s="293"/>
      <c r="BD265" s="293"/>
      <c r="BE265" s="293"/>
      <c r="BF265" s="293"/>
      <c r="BG265" s="293"/>
      <c r="BH265" s="293"/>
      <c r="BI265" s="293"/>
      <c r="BJ265" s="293"/>
      <c r="BK265" s="293"/>
      <c r="BL265" s="293"/>
      <c r="BM265" s="293"/>
      <c r="BN265" s="293"/>
      <c r="BO265" s="293"/>
      <c r="BP265" s="293"/>
      <c r="BQ265" s="293"/>
      <c r="BR265" s="293"/>
      <c r="BS265" s="293"/>
      <c r="BT265" s="293"/>
      <c r="BU265" s="293"/>
      <c r="BV265" s="293"/>
      <c r="BW265" s="293"/>
      <c r="BX265" s="293"/>
      <c r="BY265" s="293"/>
      <c r="BZ265" s="293"/>
      <c r="CA265" s="293"/>
      <c r="CB265" s="293"/>
      <c r="CC265" s="293"/>
      <c r="CD265" s="293"/>
      <c r="CE265" s="293"/>
      <c r="CF265" s="293"/>
      <c r="CG265" s="293"/>
      <c r="CH265" s="293"/>
      <c r="CI265" s="293"/>
      <c r="CJ265" s="293"/>
      <c r="CK265" s="293"/>
      <c r="CL265" s="293"/>
      <c r="CM265" s="293"/>
      <c r="CN265" s="293"/>
      <c r="CO265" s="293"/>
      <c r="CP265" s="293"/>
      <c r="CQ265" s="293"/>
      <c r="CR265" s="293"/>
      <c r="CS265" s="293"/>
      <c r="CT265" s="293"/>
      <c r="CU265" s="293"/>
      <c r="CV265" s="293"/>
      <c r="CW265" s="293"/>
      <c r="CX265" s="293"/>
      <c r="CY265" s="293"/>
    </row>
    <row r="266" spans="1:103" outlineLevel="1" x14ac:dyDescent="0.25">
      <c r="A266" s="352" t="s">
        <v>1081</v>
      </c>
      <c r="B266" s="475" t="s">
        <v>323</v>
      </c>
      <c r="C266" s="431"/>
      <c r="D266" s="119"/>
      <c r="E266" s="110"/>
      <c r="F266" s="119"/>
      <c r="G266" s="294"/>
      <c r="H266" s="490"/>
      <c r="I266" s="290"/>
      <c r="J266" s="119">
        <f t="shared" si="98"/>
        <v>0</v>
      </c>
      <c r="K266" s="290"/>
      <c r="L266" s="290">
        <f t="shared" si="100"/>
        <v>0</v>
      </c>
      <c r="M266" s="354"/>
      <c r="N266" s="353"/>
      <c r="O266" s="431"/>
      <c r="P266" s="119"/>
      <c r="Q266" s="119"/>
      <c r="R266" s="119"/>
      <c r="S266" s="119"/>
      <c r="T266" s="119"/>
      <c r="U266" s="119"/>
      <c r="V266" s="119"/>
      <c r="W266" s="356"/>
      <c r="X266" s="290"/>
      <c r="Y266" s="119"/>
      <c r="Z266" s="119"/>
      <c r="AA266" s="119"/>
      <c r="AB266" s="119"/>
      <c r="AC266" s="119"/>
      <c r="AD266" s="119"/>
      <c r="AE266" s="355"/>
      <c r="AF266" s="356"/>
    </row>
    <row r="267" spans="1:103" outlineLevel="1" x14ac:dyDescent="0.25">
      <c r="A267" s="352" t="s">
        <v>1082</v>
      </c>
      <c r="B267" s="475" t="s">
        <v>324</v>
      </c>
      <c r="C267" s="431"/>
      <c r="D267" s="119"/>
      <c r="E267" s="110"/>
      <c r="F267" s="119"/>
      <c r="G267" s="294"/>
      <c r="H267" s="490"/>
      <c r="I267" s="290"/>
      <c r="J267" s="119">
        <f t="shared" si="98"/>
        <v>0</v>
      </c>
      <c r="K267" s="290"/>
      <c r="L267" s="290">
        <f t="shared" si="100"/>
        <v>0</v>
      </c>
      <c r="M267" s="354"/>
      <c r="N267" s="353"/>
      <c r="O267" s="431"/>
      <c r="P267" s="119"/>
      <c r="Q267" s="119"/>
      <c r="R267" s="119"/>
      <c r="S267" s="119"/>
      <c r="T267" s="119"/>
      <c r="U267" s="119"/>
      <c r="V267" s="119"/>
      <c r="W267" s="356"/>
      <c r="X267" s="290"/>
      <c r="Y267" s="119"/>
      <c r="Z267" s="119"/>
      <c r="AA267" s="119"/>
      <c r="AB267" s="119"/>
      <c r="AC267" s="119"/>
      <c r="AD267" s="119"/>
      <c r="AE267" s="355"/>
      <c r="AF267" s="356"/>
    </row>
    <row r="268" spans="1:103" outlineLevel="1" x14ac:dyDescent="0.25">
      <c r="A268" s="352" t="s">
        <v>1083</v>
      </c>
      <c r="B268" s="475" t="s">
        <v>1084</v>
      </c>
      <c r="C268" s="431">
        <v>3950.64</v>
      </c>
      <c r="D268" s="119">
        <v>4000</v>
      </c>
      <c r="E268" s="110">
        <v>3920.9</v>
      </c>
      <c r="F268" s="119">
        <f>+L268</f>
        <v>3850</v>
      </c>
      <c r="G268" s="294">
        <f t="shared" si="93"/>
        <v>1.0389610389610389</v>
      </c>
      <c r="H268" s="490">
        <f>+F268/C268</f>
        <v>0.97452564647753281</v>
      </c>
      <c r="I268" s="290"/>
      <c r="J268" s="119">
        <f t="shared" si="98"/>
        <v>4000</v>
      </c>
      <c r="K268" s="290"/>
      <c r="L268" s="290">
        <f t="shared" si="100"/>
        <v>3850</v>
      </c>
      <c r="M268" s="354">
        <f>+J268/L268</f>
        <v>1.0389610389610389</v>
      </c>
      <c r="N268" s="353"/>
      <c r="O268" s="431"/>
      <c r="P268" s="119">
        <v>4000</v>
      </c>
      <c r="Q268" s="119"/>
      <c r="R268" s="119"/>
      <c r="S268" s="119"/>
      <c r="T268" s="119"/>
      <c r="U268" s="119"/>
      <c r="V268" s="119"/>
      <c r="W268" s="356"/>
      <c r="X268" s="290"/>
      <c r="Y268" s="119">
        <v>3850</v>
      </c>
      <c r="Z268" s="119"/>
      <c r="AA268" s="119"/>
      <c r="AB268" s="119"/>
      <c r="AC268" s="119"/>
      <c r="AD268" s="119"/>
      <c r="AE268" s="355"/>
      <c r="AF268" s="356"/>
    </row>
    <row r="269" spans="1:103" outlineLevel="1" x14ac:dyDescent="0.25">
      <c r="A269" s="352" t="s">
        <v>1085</v>
      </c>
      <c r="B269" s="475" t="s">
        <v>47</v>
      </c>
      <c r="C269" s="431">
        <v>268.29000000000002</v>
      </c>
      <c r="D269" s="119"/>
      <c r="E269" s="110"/>
      <c r="F269" s="119"/>
      <c r="G269" s="294"/>
      <c r="H269" s="490">
        <f>+F269/C269</f>
        <v>0</v>
      </c>
      <c r="I269" s="290"/>
      <c r="J269" s="119">
        <f t="shared" si="98"/>
        <v>0</v>
      </c>
      <c r="K269" s="290"/>
      <c r="L269" s="290">
        <f t="shared" si="100"/>
        <v>0</v>
      </c>
      <c r="M269" s="354"/>
      <c r="N269" s="353"/>
      <c r="O269" s="431"/>
      <c r="P269" s="119"/>
      <c r="Q269" s="119"/>
      <c r="R269" s="119"/>
      <c r="S269" s="119"/>
      <c r="T269" s="119"/>
      <c r="U269" s="119"/>
      <c r="V269" s="119"/>
      <c r="W269" s="356"/>
      <c r="X269" s="290"/>
      <c r="Y269" s="119"/>
      <c r="Z269" s="119"/>
      <c r="AA269" s="119"/>
      <c r="AB269" s="119"/>
      <c r="AC269" s="119"/>
      <c r="AD269" s="119"/>
      <c r="AE269" s="355"/>
      <c r="AF269" s="356"/>
    </row>
    <row r="270" spans="1:103" s="351" customFormat="1" ht="14.25" customHeight="1" x14ac:dyDescent="0.25">
      <c r="A270" s="345" t="s">
        <v>203</v>
      </c>
      <c r="B270" s="474" t="s">
        <v>495</v>
      </c>
      <c r="C270" s="430">
        <f>+C271</f>
        <v>44200</v>
      </c>
      <c r="D270" s="455">
        <f>+D271</f>
        <v>44200</v>
      </c>
      <c r="E270" s="274">
        <f>+E271</f>
        <v>44200</v>
      </c>
      <c r="F270" s="455">
        <f>+F271</f>
        <v>44200</v>
      </c>
      <c r="G270" s="292">
        <f t="shared" si="93"/>
        <v>1</v>
      </c>
      <c r="H270" s="489">
        <f>+F270/C270</f>
        <v>1</v>
      </c>
      <c r="I270" s="349"/>
      <c r="J270" s="347">
        <f t="shared" si="98"/>
        <v>44200</v>
      </c>
      <c r="K270" s="291"/>
      <c r="L270" s="291">
        <f t="shared" si="100"/>
        <v>44200</v>
      </c>
      <c r="M270" s="348">
        <f>+J270/L270</f>
        <v>1</v>
      </c>
      <c r="N270" s="392"/>
      <c r="O270" s="430">
        <f>+O271</f>
        <v>0</v>
      </c>
      <c r="P270" s="455">
        <f t="shared" ref="P270:AF270" si="109">SUM(P271:P271)</f>
        <v>37700</v>
      </c>
      <c r="Q270" s="455">
        <f t="shared" si="109"/>
        <v>0</v>
      </c>
      <c r="R270" s="455">
        <f t="shared" si="109"/>
        <v>0</v>
      </c>
      <c r="S270" s="455">
        <f t="shared" si="109"/>
        <v>0</v>
      </c>
      <c r="T270" s="455">
        <f t="shared" si="109"/>
        <v>0</v>
      </c>
      <c r="U270" s="455">
        <f t="shared" si="109"/>
        <v>0</v>
      </c>
      <c r="V270" s="455">
        <f t="shared" si="109"/>
        <v>6500</v>
      </c>
      <c r="W270" s="350">
        <f t="shared" si="109"/>
        <v>0</v>
      </c>
      <c r="X270" s="349">
        <f t="shared" si="109"/>
        <v>0</v>
      </c>
      <c r="Y270" s="455">
        <f t="shared" si="109"/>
        <v>37700</v>
      </c>
      <c r="Z270" s="455">
        <f t="shared" si="109"/>
        <v>0</v>
      </c>
      <c r="AA270" s="455">
        <f t="shared" si="109"/>
        <v>0</v>
      </c>
      <c r="AB270" s="455">
        <f t="shared" si="109"/>
        <v>0</v>
      </c>
      <c r="AC270" s="455">
        <f t="shared" si="109"/>
        <v>0</v>
      </c>
      <c r="AD270" s="455">
        <f t="shared" si="109"/>
        <v>0</v>
      </c>
      <c r="AE270" s="455">
        <f t="shared" si="109"/>
        <v>6500</v>
      </c>
      <c r="AF270" s="350">
        <f t="shared" si="109"/>
        <v>0</v>
      </c>
      <c r="AG270" s="293"/>
      <c r="AH270" s="293"/>
      <c r="AI270" s="293"/>
      <c r="AJ270" s="293"/>
      <c r="AK270" s="293"/>
      <c r="AL270" s="293"/>
      <c r="AM270" s="293"/>
      <c r="AN270" s="293"/>
      <c r="AO270" s="293"/>
      <c r="AP270" s="293"/>
      <c r="AQ270" s="293"/>
      <c r="AR270" s="293"/>
      <c r="AS270" s="293"/>
      <c r="AT270" s="293"/>
      <c r="AU270" s="293"/>
      <c r="AV270" s="293"/>
      <c r="AW270" s="293"/>
      <c r="AX270" s="293"/>
      <c r="AY270" s="293"/>
      <c r="AZ270" s="293"/>
      <c r="BA270" s="293"/>
      <c r="BB270" s="293"/>
      <c r="BC270" s="293"/>
      <c r="BD270" s="293"/>
      <c r="BE270" s="293"/>
      <c r="BF270" s="293"/>
      <c r="BG270" s="293"/>
      <c r="BH270" s="293"/>
      <c r="BI270" s="293"/>
      <c r="BJ270" s="293"/>
      <c r="BK270" s="293"/>
      <c r="BL270" s="293"/>
      <c r="BM270" s="293"/>
      <c r="BN270" s="293"/>
      <c r="BO270" s="293"/>
      <c r="BP270" s="293"/>
      <c r="BQ270" s="293"/>
      <c r="BR270" s="293"/>
      <c r="BS270" s="293"/>
      <c r="BT270" s="293"/>
      <c r="BU270" s="293"/>
      <c r="BV270" s="293"/>
      <c r="BW270" s="293"/>
      <c r="BX270" s="293"/>
      <c r="BY270" s="293"/>
      <c r="BZ270" s="293"/>
      <c r="CA270" s="293"/>
      <c r="CB270" s="293"/>
      <c r="CC270" s="293"/>
      <c r="CD270" s="293"/>
      <c r="CE270" s="293"/>
      <c r="CF270" s="293"/>
      <c r="CG270" s="293"/>
      <c r="CH270" s="293"/>
      <c r="CI270" s="293"/>
      <c r="CJ270" s="293"/>
      <c r="CK270" s="293"/>
      <c r="CL270" s="293"/>
      <c r="CM270" s="293"/>
      <c r="CN270" s="293"/>
      <c r="CO270" s="293"/>
      <c r="CP270" s="293"/>
      <c r="CQ270" s="293"/>
      <c r="CR270" s="293"/>
      <c r="CS270" s="293"/>
      <c r="CT270" s="293"/>
      <c r="CU270" s="293"/>
      <c r="CV270" s="293"/>
      <c r="CW270" s="293"/>
      <c r="CX270" s="293"/>
      <c r="CY270" s="293"/>
    </row>
    <row r="271" spans="1:103" outlineLevel="1" x14ac:dyDescent="0.25">
      <c r="A271" s="352" t="s">
        <v>205</v>
      </c>
      <c r="B271" s="475" t="s">
        <v>495</v>
      </c>
      <c r="C271" s="431">
        <v>44200</v>
      </c>
      <c r="D271" s="119">
        <v>44200</v>
      </c>
      <c r="E271" s="110">
        <v>44200</v>
      </c>
      <c r="F271" s="119">
        <v>44200</v>
      </c>
      <c r="G271" s="294">
        <f t="shared" si="93"/>
        <v>1</v>
      </c>
      <c r="H271" s="490">
        <f>+F271/C271</f>
        <v>1</v>
      </c>
      <c r="I271" s="290"/>
      <c r="J271" s="119">
        <f t="shared" si="98"/>
        <v>44200</v>
      </c>
      <c r="K271" s="290"/>
      <c r="L271" s="290">
        <f t="shared" si="100"/>
        <v>44200</v>
      </c>
      <c r="M271" s="354">
        <f>+J271/L271</f>
        <v>1</v>
      </c>
      <c r="N271" s="353"/>
      <c r="O271" s="431"/>
      <c r="P271" s="119">
        <v>37700</v>
      </c>
      <c r="Q271" s="119"/>
      <c r="R271" s="119"/>
      <c r="S271" s="119"/>
      <c r="T271" s="119"/>
      <c r="U271" s="119"/>
      <c r="V271" s="119">
        <v>6500</v>
      </c>
      <c r="W271" s="356"/>
      <c r="X271" s="290"/>
      <c r="Y271" s="119">
        <v>37700</v>
      </c>
      <c r="Z271" s="119"/>
      <c r="AA271" s="119"/>
      <c r="AB271" s="119"/>
      <c r="AC271" s="119"/>
      <c r="AD271" s="119"/>
      <c r="AE271" s="355">
        <v>6500</v>
      </c>
      <c r="AF271" s="356"/>
    </row>
    <row r="272" spans="1:103" s="344" customFormat="1" ht="21" customHeight="1" x14ac:dyDescent="0.35">
      <c r="A272" s="513" t="s">
        <v>209</v>
      </c>
      <c r="B272" s="473" t="s">
        <v>588</v>
      </c>
      <c r="C272" s="429">
        <f>+C274+C287+C293</f>
        <v>41832.39</v>
      </c>
      <c r="D272" s="339">
        <f>+D274+D287+D293</f>
        <v>39687</v>
      </c>
      <c r="E272" s="501">
        <f>+E274+E287+E293</f>
        <v>52840.380000000005</v>
      </c>
      <c r="F272" s="339">
        <f>+F274+F287+F293</f>
        <v>40587</v>
      </c>
      <c r="G272" s="340">
        <f t="shared" si="93"/>
        <v>0.97782541207775886</v>
      </c>
      <c r="H272" s="488">
        <f>+F272/C272</f>
        <v>0.97022904978654101</v>
      </c>
      <c r="I272" s="288">
        <v>42667</v>
      </c>
      <c r="J272" s="339">
        <f t="shared" si="98"/>
        <v>37987</v>
      </c>
      <c r="K272" s="288">
        <v>41741.599999999999</v>
      </c>
      <c r="L272" s="288">
        <f t="shared" si="100"/>
        <v>40587</v>
      </c>
      <c r="M272" s="342">
        <f>+J272/L272</f>
        <v>0.93594007933574785</v>
      </c>
      <c r="N272" s="341">
        <f>+L272/I272</f>
        <v>0.95125038085639957</v>
      </c>
      <c r="O272" s="429">
        <f t="shared" ref="O272:W272" si="110">O274+O287+O293</f>
        <v>0</v>
      </c>
      <c r="P272" s="339">
        <f t="shared" si="110"/>
        <v>16032</v>
      </c>
      <c r="Q272" s="339">
        <f t="shared" si="110"/>
        <v>0</v>
      </c>
      <c r="R272" s="339">
        <f t="shared" si="110"/>
        <v>0</v>
      </c>
      <c r="S272" s="339">
        <f t="shared" si="110"/>
        <v>0</v>
      </c>
      <c r="T272" s="339">
        <f t="shared" si="110"/>
        <v>0</v>
      </c>
      <c r="U272" s="339">
        <f t="shared" si="110"/>
        <v>0</v>
      </c>
      <c r="V272" s="339">
        <f t="shared" si="110"/>
        <v>21955</v>
      </c>
      <c r="W272" s="461">
        <f t="shared" si="110"/>
        <v>0</v>
      </c>
      <c r="X272" s="288">
        <f>X274+X287+X293</f>
        <v>3600</v>
      </c>
      <c r="Y272" s="288">
        <f>+Y274+Y287+Y293</f>
        <v>15032</v>
      </c>
      <c r="Z272" s="288"/>
      <c r="AA272" s="288"/>
      <c r="AB272" s="288"/>
      <c r="AC272" s="288">
        <f>+AC274+AC287+AC293</f>
        <v>0</v>
      </c>
      <c r="AD272" s="288">
        <f>+AD274+AD287+AD293</f>
        <v>0</v>
      </c>
      <c r="AE272" s="288">
        <f>+AE274+AE287+AE293</f>
        <v>21955</v>
      </c>
      <c r="AF272" s="289">
        <f>+AF274+AF287+AF293</f>
        <v>0</v>
      </c>
      <c r="AG272" s="343"/>
      <c r="AH272" s="343"/>
      <c r="AI272" s="343"/>
      <c r="AJ272" s="343"/>
      <c r="AK272" s="343"/>
      <c r="AL272" s="343"/>
      <c r="AM272" s="343"/>
      <c r="AN272" s="343"/>
      <c r="AO272" s="343"/>
      <c r="AP272" s="343"/>
      <c r="AQ272" s="343"/>
      <c r="AR272" s="343"/>
      <c r="AS272" s="343"/>
      <c r="AT272" s="343"/>
      <c r="AU272" s="343"/>
      <c r="AV272" s="343"/>
      <c r="AW272" s="343"/>
      <c r="AX272" s="343"/>
      <c r="AY272" s="343"/>
      <c r="AZ272" s="343"/>
      <c r="BA272" s="343"/>
      <c r="BB272" s="343"/>
      <c r="BC272" s="343"/>
      <c r="BD272" s="343"/>
      <c r="BE272" s="343"/>
      <c r="BF272" s="343"/>
      <c r="BG272" s="343"/>
      <c r="BH272" s="343"/>
      <c r="BI272" s="343"/>
      <c r="BJ272" s="343"/>
      <c r="BK272" s="343"/>
      <c r="BL272" s="343"/>
      <c r="BM272" s="343"/>
      <c r="BN272" s="343"/>
      <c r="BO272" s="343"/>
      <c r="BP272" s="343"/>
      <c r="BQ272" s="343"/>
      <c r="BR272" s="343"/>
      <c r="BS272" s="343"/>
      <c r="BT272" s="343"/>
      <c r="BU272" s="343"/>
      <c r="BV272" s="343"/>
      <c r="BW272" s="343"/>
      <c r="BX272" s="343"/>
      <c r="BY272" s="343"/>
      <c r="BZ272" s="343"/>
      <c r="CA272" s="343"/>
      <c r="CB272" s="343"/>
      <c r="CC272" s="343"/>
      <c r="CD272" s="343"/>
      <c r="CE272" s="343"/>
      <c r="CF272" s="343"/>
      <c r="CG272" s="343"/>
      <c r="CH272" s="343"/>
      <c r="CI272" s="343"/>
      <c r="CJ272" s="343"/>
      <c r="CK272" s="343"/>
      <c r="CL272" s="343"/>
      <c r="CM272" s="343"/>
      <c r="CN272" s="343"/>
      <c r="CO272" s="343"/>
      <c r="CP272" s="343"/>
      <c r="CQ272" s="343"/>
      <c r="CR272" s="343"/>
      <c r="CS272" s="343"/>
      <c r="CT272" s="343"/>
      <c r="CU272" s="343"/>
      <c r="CV272" s="343"/>
      <c r="CW272" s="343"/>
      <c r="CX272" s="343"/>
      <c r="CY272" s="343"/>
    </row>
    <row r="273" spans="1:103" s="344" customFormat="1" ht="21" customHeight="1" x14ac:dyDescent="0.35">
      <c r="A273" s="394"/>
      <c r="B273" s="479" t="s">
        <v>1343</v>
      </c>
      <c r="C273" s="433"/>
      <c r="D273" s="383"/>
      <c r="E273" s="502"/>
      <c r="F273" s="383"/>
      <c r="G273" s="384"/>
      <c r="H273" s="492"/>
      <c r="I273" s="386">
        <v>834</v>
      </c>
      <c r="J273" s="383">
        <v>11666</v>
      </c>
      <c r="K273" s="386"/>
      <c r="L273" s="386">
        <f>+J273</f>
        <v>11666</v>
      </c>
      <c r="M273" s="395"/>
      <c r="N273" s="417"/>
      <c r="O273" s="434">
        <f>+X273*1.01</f>
        <v>0</v>
      </c>
      <c r="P273" s="415"/>
      <c r="Q273" s="415"/>
      <c r="R273" s="415"/>
      <c r="S273" s="415"/>
      <c r="T273" s="415"/>
      <c r="U273" s="415"/>
      <c r="V273" s="415"/>
      <c r="W273" s="521"/>
      <c r="X273" s="396"/>
      <c r="Y273" s="396"/>
      <c r="Z273" s="396"/>
      <c r="AA273" s="396"/>
      <c r="AB273" s="396"/>
      <c r="AC273" s="396"/>
      <c r="AD273" s="396"/>
      <c r="AE273" s="396"/>
      <c r="AF273" s="397"/>
      <c r="AG273" s="343"/>
      <c r="AH273" s="343"/>
      <c r="AI273" s="343"/>
      <c r="AJ273" s="343"/>
      <c r="AK273" s="343"/>
      <c r="AL273" s="343"/>
      <c r="AM273" s="343"/>
      <c r="AN273" s="343"/>
      <c r="AO273" s="343"/>
      <c r="AP273" s="343"/>
      <c r="AQ273" s="343"/>
      <c r="AR273" s="343"/>
      <c r="AS273" s="343"/>
      <c r="AT273" s="343"/>
      <c r="AU273" s="343"/>
      <c r="AV273" s="343"/>
      <c r="AW273" s="343"/>
      <c r="AX273" s="343"/>
      <c r="AY273" s="343"/>
      <c r="AZ273" s="343"/>
      <c r="BA273" s="343"/>
      <c r="BB273" s="343"/>
      <c r="BC273" s="343"/>
      <c r="BD273" s="343"/>
      <c r="BE273" s="343"/>
      <c r="BF273" s="343"/>
      <c r="BG273" s="343"/>
      <c r="BH273" s="343"/>
      <c r="BI273" s="343"/>
      <c r="BJ273" s="343"/>
      <c r="BK273" s="343"/>
      <c r="BL273" s="343"/>
      <c r="BM273" s="343"/>
      <c r="BN273" s="343"/>
      <c r="BO273" s="343"/>
      <c r="BP273" s="343"/>
      <c r="BQ273" s="343"/>
      <c r="BR273" s="343"/>
      <c r="BS273" s="343"/>
      <c r="BT273" s="343"/>
      <c r="BU273" s="343"/>
      <c r="BV273" s="343"/>
      <c r="BW273" s="343"/>
      <c r="BX273" s="343"/>
      <c r="BY273" s="343"/>
      <c r="BZ273" s="343"/>
      <c r="CA273" s="343"/>
      <c r="CB273" s="343"/>
      <c r="CC273" s="343"/>
      <c r="CD273" s="343"/>
      <c r="CE273" s="343"/>
      <c r="CF273" s="343"/>
      <c r="CG273" s="343"/>
      <c r="CH273" s="343"/>
      <c r="CI273" s="343"/>
      <c r="CJ273" s="343"/>
      <c r="CK273" s="343"/>
      <c r="CL273" s="343"/>
      <c r="CM273" s="343"/>
      <c r="CN273" s="343"/>
      <c r="CO273" s="343"/>
      <c r="CP273" s="343"/>
      <c r="CQ273" s="343"/>
      <c r="CR273" s="343"/>
      <c r="CS273" s="343"/>
      <c r="CT273" s="343"/>
      <c r="CU273" s="343"/>
      <c r="CV273" s="343"/>
      <c r="CW273" s="343"/>
      <c r="CX273" s="343"/>
      <c r="CY273" s="343"/>
    </row>
    <row r="274" spans="1:103" s="351" customFormat="1" ht="15.75" x14ac:dyDescent="0.25">
      <c r="A274" s="345" t="s">
        <v>213</v>
      </c>
      <c r="B274" s="474" t="s">
        <v>905</v>
      </c>
      <c r="C274" s="430">
        <f>+SUM(C275:C286)</f>
        <v>31320.61</v>
      </c>
      <c r="D274" s="455">
        <f>+SUM(D275:D286)</f>
        <v>29632</v>
      </c>
      <c r="E274" s="274">
        <f>+SUM(E275:E286)</f>
        <v>33576.020000000004</v>
      </c>
      <c r="F274" s="455">
        <f>+SUM(F275:F286)</f>
        <v>26432</v>
      </c>
      <c r="G274" s="292">
        <f t="shared" si="93"/>
        <v>1.1210653753026634</v>
      </c>
      <c r="H274" s="489">
        <f t="shared" ref="H274:H290" si="111">+F274/C274</f>
        <v>0.84391715231599895</v>
      </c>
      <c r="I274" s="349"/>
      <c r="J274" s="347">
        <f>SUM(J275:J286)</f>
        <v>27432</v>
      </c>
      <c r="K274" s="291"/>
      <c r="L274" s="291">
        <f t="shared" si="100"/>
        <v>26432</v>
      </c>
      <c r="M274" s="348">
        <f t="shared" ref="M274:M313" si="112">+J274/L274</f>
        <v>1.0378329297820823</v>
      </c>
      <c r="N274" s="392"/>
      <c r="O274" s="430">
        <f t="shared" ref="O274:AF274" si="113">SUM(O275:O286)</f>
        <v>0</v>
      </c>
      <c r="P274" s="455">
        <f t="shared" si="113"/>
        <v>15132</v>
      </c>
      <c r="Q274" s="455">
        <f t="shared" si="113"/>
        <v>0</v>
      </c>
      <c r="R274" s="455">
        <f t="shared" si="113"/>
        <v>0</v>
      </c>
      <c r="S274" s="455">
        <f t="shared" si="113"/>
        <v>0</v>
      </c>
      <c r="T274" s="455">
        <f t="shared" si="113"/>
        <v>0</v>
      </c>
      <c r="U274" s="455">
        <f t="shared" si="113"/>
        <v>0</v>
      </c>
      <c r="V274" s="455">
        <f t="shared" si="113"/>
        <v>12300</v>
      </c>
      <c r="W274" s="350">
        <f t="shared" si="113"/>
        <v>0</v>
      </c>
      <c r="X274" s="349">
        <f t="shared" si="113"/>
        <v>0</v>
      </c>
      <c r="Y274" s="455">
        <f t="shared" si="113"/>
        <v>14132</v>
      </c>
      <c r="Z274" s="455">
        <f t="shared" si="113"/>
        <v>0</v>
      </c>
      <c r="AA274" s="455">
        <f t="shared" si="113"/>
        <v>0</v>
      </c>
      <c r="AB274" s="455">
        <f t="shared" si="113"/>
        <v>0</v>
      </c>
      <c r="AC274" s="455">
        <f t="shared" si="113"/>
        <v>0</v>
      </c>
      <c r="AD274" s="455">
        <f t="shared" si="113"/>
        <v>0</v>
      </c>
      <c r="AE274" s="455">
        <f t="shared" si="113"/>
        <v>12300</v>
      </c>
      <c r="AF274" s="350">
        <f t="shared" si="113"/>
        <v>0</v>
      </c>
      <c r="AG274" s="293"/>
      <c r="AH274" s="293"/>
      <c r="AI274" s="293"/>
      <c r="AJ274" s="293"/>
      <c r="AK274" s="293"/>
      <c r="AL274" s="293"/>
      <c r="AM274" s="293"/>
      <c r="AN274" s="293"/>
      <c r="AO274" s="293"/>
      <c r="AP274" s="293"/>
      <c r="AQ274" s="293"/>
      <c r="AR274" s="293"/>
      <c r="AS274" s="293"/>
      <c r="AT274" s="293"/>
      <c r="AU274" s="293"/>
      <c r="AV274" s="293"/>
      <c r="AW274" s="293"/>
      <c r="AX274" s="293"/>
      <c r="AY274" s="293"/>
      <c r="AZ274" s="293"/>
      <c r="BA274" s="293"/>
      <c r="BB274" s="293"/>
      <c r="BC274" s="293"/>
      <c r="BD274" s="293"/>
      <c r="BE274" s="293"/>
      <c r="BF274" s="293"/>
      <c r="BG274" s="293"/>
      <c r="BH274" s="293"/>
      <c r="BI274" s="293"/>
      <c r="BJ274" s="293"/>
      <c r="BK274" s="293"/>
      <c r="BL274" s="293"/>
      <c r="BM274" s="293"/>
      <c r="BN274" s="293"/>
      <c r="BO274" s="293"/>
      <c r="BP274" s="293"/>
      <c r="BQ274" s="293"/>
      <c r="BR274" s="293"/>
      <c r="BS274" s="293"/>
      <c r="BT274" s="293"/>
      <c r="BU274" s="293"/>
      <c r="BV274" s="293"/>
      <c r="BW274" s="293"/>
      <c r="BX274" s="293"/>
      <c r="BY274" s="293"/>
      <c r="BZ274" s="293"/>
      <c r="CA274" s="293"/>
      <c r="CB274" s="293"/>
      <c r="CC274" s="293"/>
      <c r="CD274" s="293"/>
      <c r="CE274" s="293"/>
      <c r="CF274" s="293"/>
      <c r="CG274" s="293"/>
      <c r="CH274" s="293"/>
      <c r="CI274" s="293"/>
      <c r="CJ274" s="293"/>
      <c r="CK274" s="293"/>
      <c r="CL274" s="293"/>
      <c r="CM274" s="293"/>
      <c r="CN274" s="293"/>
      <c r="CO274" s="293"/>
      <c r="CP274" s="293"/>
      <c r="CQ274" s="293"/>
      <c r="CR274" s="293"/>
      <c r="CS274" s="293"/>
      <c r="CT274" s="293"/>
      <c r="CU274" s="293"/>
      <c r="CV274" s="293"/>
      <c r="CW274" s="293"/>
      <c r="CX274" s="293"/>
      <c r="CY274" s="293"/>
    </row>
    <row r="275" spans="1:103" outlineLevel="1" x14ac:dyDescent="0.25">
      <c r="A275" s="358" t="s">
        <v>214</v>
      </c>
      <c r="B275" s="475" t="s">
        <v>904</v>
      </c>
      <c r="C275" s="431">
        <v>9531.98</v>
      </c>
      <c r="D275" s="119">
        <v>8000</v>
      </c>
      <c r="E275" s="110">
        <v>9715.94</v>
      </c>
      <c r="F275" s="119">
        <f t="shared" ref="F275:F286" si="114">+L275</f>
        <v>6000</v>
      </c>
      <c r="G275" s="294">
        <f t="shared" si="93"/>
        <v>1.3333333333333333</v>
      </c>
      <c r="H275" s="490">
        <f t="shared" si="111"/>
        <v>0.62945998627777233</v>
      </c>
      <c r="I275" s="290"/>
      <c r="J275" s="119">
        <f t="shared" ref="J275:J295" si="115">+O275+P275+Q275+R275+S275+T275+U275+V275+W275</f>
        <v>6000</v>
      </c>
      <c r="K275" s="290"/>
      <c r="L275" s="290">
        <f t="shared" si="100"/>
        <v>6000</v>
      </c>
      <c r="M275" s="354">
        <f t="shared" si="112"/>
        <v>1</v>
      </c>
      <c r="N275" s="353"/>
      <c r="O275" s="431"/>
      <c r="P275" s="119">
        <v>6000</v>
      </c>
      <c r="Q275" s="119"/>
      <c r="R275" s="119"/>
      <c r="S275" s="119"/>
      <c r="T275" s="119"/>
      <c r="U275" s="119"/>
      <c r="V275" s="119"/>
      <c r="W275" s="356"/>
      <c r="X275" s="290"/>
      <c r="Y275" s="119">
        <v>6000</v>
      </c>
      <c r="Z275" s="119"/>
      <c r="AA275" s="119"/>
      <c r="AB275" s="119"/>
      <c r="AC275" s="119"/>
      <c r="AD275" s="119"/>
      <c r="AE275" s="355"/>
      <c r="AF275" s="356"/>
    </row>
    <row r="276" spans="1:103" outlineLevel="1" x14ac:dyDescent="0.25">
      <c r="A276" s="352" t="s">
        <v>215</v>
      </c>
      <c r="B276" s="475" t="s">
        <v>909</v>
      </c>
      <c r="C276" s="431">
        <v>2781.96</v>
      </c>
      <c r="D276" s="119">
        <f t="shared" ref="D276:D286" si="116">+J276</f>
        <v>2800</v>
      </c>
      <c r="E276" s="110">
        <v>2929.32</v>
      </c>
      <c r="F276" s="119">
        <f t="shared" si="114"/>
        <v>2800</v>
      </c>
      <c r="G276" s="294">
        <f t="shared" si="93"/>
        <v>1</v>
      </c>
      <c r="H276" s="490">
        <f t="shared" si="111"/>
        <v>1.0064846367309379</v>
      </c>
      <c r="I276" s="290"/>
      <c r="J276" s="119">
        <f t="shared" si="115"/>
        <v>2800</v>
      </c>
      <c r="K276" s="290"/>
      <c r="L276" s="290">
        <f t="shared" si="100"/>
        <v>2800</v>
      </c>
      <c r="M276" s="354">
        <f t="shared" si="112"/>
        <v>1</v>
      </c>
      <c r="N276" s="353"/>
      <c r="O276" s="431"/>
      <c r="P276" s="119">
        <v>2800</v>
      </c>
      <c r="Q276" s="119"/>
      <c r="R276" s="119"/>
      <c r="S276" s="119"/>
      <c r="T276" s="119"/>
      <c r="U276" s="119"/>
      <c r="V276" s="119"/>
      <c r="W276" s="356"/>
      <c r="X276" s="290"/>
      <c r="Y276" s="119">
        <v>2800</v>
      </c>
      <c r="Z276" s="119"/>
      <c r="AA276" s="119"/>
      <c r="AB276" s="119"/>
      <c r="AC276" s="119"/>
      <c r="AD276" s="119"/>
      <c r="AE276" s="355"/>
      <c r="AF276" s="356"/>
    </row>
    <row r="277" spans="1:103" outlineLevel="1" x14ac:dyDescent="0.25">
      <c r="A277" s="352" t="s">
        <v>216</v>
      </c>
      <c r="B277" s="475" t="s">
        <v>910</v>
      </c>
      <c r="C277" s="431">
        <v>1551.83</v>
      </c>
      <c r="D277" s="119">
        <v>1500</v>
      </c>
      <c r="E277" s="110">
        <v>2976.44</v>
      </c>
      <c r="F277" s="119">
        <f t="shared" si="114"/>
        <v>750</v>
      </c>
      <c r="G277" s="294">
        <f t="shared" si="93"/>
        <v>2</v>
      </c>
      <c r="H277" s="490">
        <f t="shared" si="111"/>
        <v>0.48330036150867045</v>
      </c>
      <c r="I277" s="290"/>
      <c r="J277" s="119">
        <f t="shared" si="115"/>
        <v>750</v>
      </c>
      <c r="K277" s="290"/>
      <c r="L277" s="290">
        <f t="shared" si="100"/>
        <v>750</v>
      </c>
      <c r="M277" s="354">
        <f t="shared" si="112"/>
        <v>1</v>
      </c>
      <c r="N277" s="353"/>
      <c r="O277" s="431"/>
      <c r="P277" s="119">
        <v>750</v>
      </c>
      <c r="Q277" s="119"/>
      <c r="R277" s="119"/>
      <c r="S277" s="119"/>
      <c r="T277" s="119"/>
      <c r="U277" s="119"/>
      <c r="V277" s="119"/>
      <c r="W277" s="356"/>
      <c r="X277" s="290"/>
      <c r="Y277" s="119">
        <v>750</v>
      </c>
      <c r="Z277" s="119"/>
      <c r="AA277" s="119"/>
      <c r="AB277" s="119"/>
      <c r="AC277" s="119"/>
      <c r="AD277" s="119"/>
      <c r="AE277" s="355"/>
      <c r="AF277" s="356"/>
    </row>
    <row r="278" spans="1:103" outlineLevel="1" x14ac:dyDescent="0.25">
      <c r="A278" s="352" t="s">
        <v>217</v>
      </c>
      <c r="B278" s="475" t="s">
        <v>911</v>
      </c>
      <c r="C278" s="431">
        <v>833.97</v>
      </c>
      <c r="D278" s="119">
        <v>500</v>
      </c>
      <c r="E278" s="110">
        <v>462.4</v>
      </c>
      <c r="F278" s="119">
        <f t="shared" si="114"/>
        <v>1000</v>
      </c>
      <c r="G278" s="294">
        <f t="shared" si="93"/>
        <v>0.5</v>
      </c>
      <c r="H278" s="490">
        <f t="shared" si="111"/>
        <v>1.199083899900476</v>
      </c>
      <c r="I278" s="290"/>
      <c r="J278" s="119">
        <f t="shared" si="115"/>
        <v>1000</v>
      </c>
      <c r="K278" s="290"/>
      <c r="L278" s="290">
        <f t="shared" si="100"/>
        <v>1000</v>
      </c>
      <c r="M278" s="354">
        <f t="shared" si="112"/>
        <v>1</v>
      </c>
      <c r="N278" s="353"/>
      <c r="O278" s="431"/>
      <c r="P278" s="119">
        <v>1000</v>
      </c>
      <c r="Q278" s="119"/>
      <c r="R278" s="119"/>
      <c r="S278" s="119"/>
      <c r="T278" s="119"/>
      <c r="U278" s="119"/>
      <c r="V278" s="119"/>
      <c r="W278" s="356"/>
      <c r="X278" s="290"/>
      <c r="Y278" s="119">
        <v>1000</v>
      </c>
      <c r="Z278" s="119"/>
      <c r="AA278" s="119"/>
      <c r="AB278" s="119"/>
      <c r="AC278" s="119"/>
      <c r="AD278" s="119"/>
      <c r="AE278" s="355"/>
      <c r="AF278" s="356"/>
    </row>
    <row r="279" spans="1:103" outlineLevel="1" x14ac:dyDescent="0.25">
      <c r="A279" s="352" t="s">
        <v>218</v>
      </c>
      <c r="B279" s="475" t="s">
        <v>915</v>
      </c>
      <c r="C279" s="431">
        <v>215.59</v>
      </c>
      <c r="D279" s="119">
        <v>50</v>
      </c>
      <c r="E279" s="110">
        <v>146.72999999999999</v>
      </c>
      <c r="F279" s="119">
        <f t="shared" si="114"/>
        <v>100</v>
      </c>
      <c r="G279" s="294">
        <f t="shared" si="93"/>
        <v>0.5</v>
      </c>
      <c r="H279" s="490">
        <f t="shared" si="111"/>
        <v>0.4638434064659771</v>
      </c>
      <c r="I279" s="290"/>
      <c r="J279" s="119">
        <f t="shared" si="115"/>
        <v>100</v>
      </c>
      <c r="K279" s="290"/>
      <c r="L279" s="290">
        <f t="shared" si="100"/>
        <v>100</v>
      </c>
      <c r="M279" s="354">
        <f t="shared" si="112"/>
        <v>1</v>
      </c>
      <c r="N279" s="353"/>
      <c r="O279" s="431"/>
      <c r="P279" s="119">
        <v>100</v>
      </c>
      <c r="Q279" s="119"/>
      <c r="R279" s="119"/>
      <c r="S279" s="119"/>
      <c r="T279" s="119"/>
      <c r="U279" s="119"/>
      <c r="V279" s="119"/>
      <c r="W279" s="356"/>
      <c r="X279" s="290"/>
      <c r="Y279" s="119">
        <v>100</v>
      </c>
      <c r="Z279" s="119"/>
      <c r="AA279" s="119"/>
      <c r="AB279" s="119"/>
      <c r="AC279" s="119"/>
      <c r="AD279" s="119"/>
      <c r="AE279" s="355"/>
      <c r="AF279" s="356"/>
    </row>
    <row r="280" spans="1:103" outlineLevel="1" x14ac:dyDescent="0.25">
      <c r="A280" s="352" t="s">
        <v>916</v>
      </c>
      <c r="B280" s="475" t="s">
        <v>954</v>
      </c>
      <c r="C280" s="431">
        <v>1380.13</v>
      </c>
      <c r="D280" s="119">
        <f t="shared" si="116"/>
        <v>1000</v>
      </c>
      <c r="E280" s="110">
        <v>1556.68</v>
      </c>
      <c r="F280" s="119">
        <f t="shared" si="114"/>
        <v>1000</v>
      </c>
      <c r="G280" s="294">
        <f t="shared" si="93"/>
        <v>1</v>
      </c>
      <c r="H280" s="490">
        <f t="shared" si="111"/>
        <v>0.72456942461941987</v>
      </c>
      <c r="I280" s="290"/>
      <c r="J280" s="119">
        <f t="shared" si="115"/>
        <v>1000</v>
      </c>
      <c r="K280" s="290"/>
      <c r="L280" s="290">
        <f t="shared" si="100"/>
        <v>1000</v>
      </c>
      <c r="M280" s="354">
        <f t="shared" si="112"/>
        <v>1</v>
      </c>
      <c r="N280" s="353"/>
      <c r="O280" s="431"/>
      <c r="P280" s="119">
        <v>1000</v>
      </c>
      <c r="Q280" s="119"/>
      <c r="R280" s="119"/>
      <c r="S280" s="119"/>
      <c r="T280" s="119"/>
      <c r="U280" s="119"/>
      <c r="V280" s="119"/>
      <c r="W280" s="356"/>
      <c r="X280" s="290"/>
      <c r="Y280" s="119">
        <v>1000</v>
      </c>
      <c r="Z280" s="119"/>
      <c r="AA280" s="119"/>
      <c r="AB280" s="119"/>
      <c r="AC280" s="119"/>
      <c r="AD280" s="119"/>
      <c r="AE280" s="355"/>
      <c r="AF280" s="356"/>
    </row>
    <row r="281" spans="1:103" outlineLevel="1" x14ac:dyDescent="0.25">
      <c r="A281" s="352" t="s">
        <v>917</v>
      </c>
      <c r="B281" s="475" t="s">
        <v>914</v>
      </c>
      <c r="C281" s="431">
        <v>421.56</v>
      </c>
      <c r="D281" s="119">
        <f t="shared" si="116"/>
        <v>500</v>
      </c>
      <c r="E281" s="110">
        <v>39.24</v>
      </c>
      <c r="F281" s="119">
        <f t="shared" si="114"/>
        <v>500</v>
      </c>
      <c r="G281" s="294">
        <f t="shared" si="93"/>
        <v>1</v>
      </c>
      <c r="H281" s="490">
        <f t="shared" si="111"/>
        <v>1.1860707847044312</v>
      </c>
      <c r="I281" s="290"/>
      <c r="J281" s="119">
        <f t="shared" si="115"/>
        <v>500</v>
      </c>
      <c r="K281" s="290"/>
      <c r="L281" s="290">
        <f t="shared" si="100"/>
        <v>500</v>
      </c>
      <c r="M281" s="354">
        <f t="shared" si="112"/>
        <v>1</v>
      </c>
      <c r="N281" s="353"/>
      <c r="O281" s="431"/>
      <c r="P281" s="119">
        <v>500</v>
      </c>
      <c r="Q281" s="119"/>
      <c r="R281" s="119"/>
      <c r="S281" s="119"/>
      <c r="T281" s="119"/>
      <c r="U281" s="119"/>
      <c r="V281" s="119"/>
      <c r="W281" s="356"/>
      <c r="X281" s="290"/>
      <c r="Y281" s="119">
        <v>500</v>
      </c>
      <c r="Z281" s="119"/>
      <c r="AA281" s="119"/>
      <c r="AB281" s="119"/>
      <c r="AC281" s="119"/>
      <c r="AD281" s="119"/>
      <c r="AE281" s="355"/>
      <c r="AF281" s="356"/>
    </row>
    <row r="282" spans="1:103" outlineLevel="1" x14ac:dyDescent="0.25">
      <c r="A282" s="352" t="s">
        <v>918</v>
      </c>
      <c r="B282" s="475" t="s">
        <v>912</v>
      </c>
      <c r="C282" s="431">
        <v>989.12</v>
      </c>
      <c r="D282" s="119">
        <f t="shared" si="116"/>
        <v>982</v>
      </c>
      <c r="E282" s="110">
        <v>1006.55</v>
      </c>
      <c r="F282" s="119">
        <f t="shared" si="114"/>
        <v>982</v>
      </c>
      <c r="G282" s="294">
        <f t="shared" si="93"/>
        <v>1</v>
      </c>
      <c r="H282" s="490">
        <f t="shared" si="111"/>
        <v>0.99280168230346166</v>
      </c>
      <c r="I282" s="290"/>
      <c r="J282" s="119">
        <f t="shared" si="115"/>
        <v>982</v>
      </c>
      <c r="K282" s="290"/>
      <c r="L282" s="290">
        <f t="shared" si="100"/>
        <v>982</v>
      </c>
      <c r="M282" s="354">
        <f t="shared" si="112"/>
        <v>1</v>
      </c>
      <c r="N282" s="353"/>
      <c r="O282" s="431"/>
      <c r="P282" s="119">
        <v>982</v>
      </c>
      <c r="Q282" s="119"/>
      <c r="R282" s="119"/>
      <c r="S282" s="119"/>
      <c r="T282" s="119"/>
      <c r="U282" s="119"/>
      <c r="V282" s="119"/>
      <c r="W282" s="356"/>
      <c r="X282" s="290"/>
      <c r="Y282" s="119">
        <v>982</v>
      </c>
      <c r="Z282" s="119"/>
      <c r="AA282" s="119"/>
      <c r="AB282" s="119"/>
      <c r="AC282" s="119"/>
      <c r="AD282" s="119"/>
      <c r="AE282" s="355"/>
      <c r="AF282" s="356"/>
    </row>
    <row r="283" spans="1:103" outlineLevel="1" x14ac:dyDescent="0.25">
      <c r="A283" s="352" t="s">
        <v>919</v>
      </c>
      <c r="B283" s="475" t="s">
        <v>906</v>
      </c>
      <c r="C283" s="431">
        <v>5722.93</v>
      </c>
      <c r="D283" s="119">
        <f t="shared" si="116"/>
        <v>7000</v>
      </c>
      <c r="E283" s="110">
        <v>6653.49</v>
      </c>
      <c r="F283" s="119">
        <f t="shared" si="114"/>
        <v>6000</v>
      </c>
      <c r="G283" s="294">
        <f t="shared" si="93"/>
        <v>1.1666666666666667</v>
      </c>
      <c r="H283" s="490">
        <f t="shared" si="111"/>
        <v>1.048414011703795</v>
      </c>
      <c r="I283" s="290"/>
      <c r="J283" s="119">
        <f t="shared" si="115"/>
        <v>7000</v>
      </c>
      <c r="K283" s="290"/>
      <c r="L283" s="290">
        <f t="shared" si="100"/>
        <v>6000</v>
      </c>
      <c r="M283" s="354">
        <f t="shared" si="112"/>
        <v>1.1666666666666667</v>
      </c>
      <c r="N283" s="353"/>
      <c r="O283" s="431"/>
      <c r="P283" s="119">
        <v>1000</v>
      </c>
      <c r="Q283" s="119"/>
      <c r="R283" s="119"/>
      <c r="S283" s="119"/>
      <c r="T283" s="119"/>
      <c r="U283" s="119"/>
      <c r="V283" s="119">
        <v>6000</v>
      </c>
      <c r="W283" s="356"/>
      <c r="X283" s="290"/>
      <c r="Y283" s="119"/>
      <c r="Z283" s="119"/>
      <c r="AA283" s="119"/>
      <c r="AB283" s="119"/>
      <c r="AC283" s="119"/>
      <c r="AD283" s="119"/>
      <c r="AE283" s="355">
        <v>6000</v>
      </c>
      <c r="AF283" s="356"/>
    </row>
    <row r="284" spans="1:103" outlineLevel="1" x14ac:dyDescent="0.25">
      <c r="A284" s="352" t="s">
        <v>920</v>
      </c>
      <c r="B284" s="475" t="s">
        <v>907</v>
      </c>
      <c r="C284" s="431">
        <v>2893.01</v>
      </c>
      <c r="D284" s="119">
        <v>3300</v>
      </c>
      <c r="E284" s="110">
        <v>3143.47</v>
      </c>
      <c r="F284" s="119">
        <f t="shared" si="114"/>
        <v>2800</v>
      </c>
      <c r="G284" s="294">
        <f t="shared" si="93"/>
        <v>1.1785714285714286</v>
      </c>
      <c r="H284" s="490">
        <f t="shared" si="111"/>
        <v>0.96785009384689291</v>
      </c>
      <c r="I284" s="290"/>
      <c r="J284" s="119">
        <f t="shared" si="115"/>
        <v>2800</v>
      </c>
      <c r="K284" s="290"/>
      <c r="L284" s="290">
        <f t="shared" si="100"/>
        <v>2800</v>
      </c>
      <c r="M284" s="354">
        <f t="shared" si="112"/>
        <v>1</v>
      </c>
      <c r="N284" s="353"/>
      <c r="O284" s="431"/>
      <c r="P284" s="119"/>
      <c r="Q284" s="119"/>
      <c r="R284" s="119"/>
      <c r="S284" s="119"/>
      <c r="T284" s="119"/>
      <c r="U284" s="119"/>
      <c r="V284" s="119">
        <v>2800</v>
      </c>
      <c r="W284" s="356"/>
      <c r="X284" s="290"/>
      <c r="Y284" s="119"/>
      <c r="Z284" s="119"/>
      <c r="AA284" s="119"/>
      <c r="AB284" s="119"/>
      <c r="AC284" s="119"/>
      <c r="AD284" s="119"/>
      <c r="AE284" s="355">
        <v>2800</v>
      </c>
      <c r="AF284" s="356"/>
    </row>
    <row r="285" spans="1:103" outlineLevel="1" x14ac:dyDescent="0.25">
      <c r="A285" s="352" t="s">
        <v>921</v>
      </c>
      <c r="B285" s="475" t="s">
        <v>908</v>
      </c>
      <c r="C285" s="431">
        <v>3808</v>
      </c>
      <c r="D285" s="119">
        <v>3000</v>
      </c>
      <c r="E285" s="110">
        <v>4160</v>
      </c>
      <c r="F285" s="119">
        <f t="shared" si="114"/>
        <v>3500</v>
      </c>
      <c r="G285" s="294">
        <f t="shared" si="93"/>
        <v>0.8571428571428571</v>
      </c>
      <c r="H285" s="490">
        <f t="shared" si="111"/>
        <v>0.91911764705882348</v>
      </c>
      <c r="I285" s="290"/>
      <c r="J285" s="119">
        <f t="shared" si="115"/>
        <v>3500</v>
      </c>
      <c r="K285" s="290"/>
      <c r="L285" s="290">
        <f t="shared" si="100"/>
        <v>3500</v>
      </c>
      <c r="M285" s="354">
        <f t="shared" si="112"/>
        <v>1</v>
      </c>
      <c r="N285" s="353"/>
      <c r="O285" s="431"/>
      <c r="P285" s="119"/>
      <c r="Q285" s="119"/>
      <c r="R285" s="119"/>
      <c r="S285" s="119"/>
      <c r="T285" s="119"/>
      <c r="U285" s="119"/>
      <c r="V285" s="119">
        <v>3500</v>
      </c>
      <c r="W285" s="356"/>
      <c r="X285" s="290"/>
      <c r="Y285" s="119"/>
      <c r="Z285" s="119"/>
      <c r="AA285" s="119"/>
      <c r="AB285" s="119"/>
      <c r="AC285" s="119"/>
      <c r="AD285" s="119"/>
      <c r="AE285" s="355">
        <v>3500</v>
      </c>
      <c r="AF285" s="356"/>
    </row>
    <row r="286" spans="1:103" outlineLevel="1" x14ac:dyDescent="0.25">
      <c r="A286" s="352" t="s">
        <v>1086</v>
      </c>
      <c r="B286" s="475" t="s">
        <v>47</v>
      </c>
      <c r="C286" s="431">
        <v>1190.53</v>
      </c>
      <c r="D286" s="119">
        <f t="shared" si="116"/>
        <v>1000</v>
      </c>
      <c r="E286" s="110">
        <v>785.76</v>
      </c>
      <c r="F286" s="119">
        <f t="shared" si="114"/>
        <v>1000</v>
      </c>
      <c r="G286" s="294">
        <f t="shared" si="93"/>
        <v>1</v>
      </c>
      <c r="H286" s="490">
        <f t="shared" si="111"/>
        <v>0.83996203371607603</v>
      </c>
      <c r="I286" s="290"/>
      <c r="J286" s="119">
        <f t="shared" si="115"/>
        <v>1000</v>
      </c>
      <c r="K286" s="290"/>
      <c r="L286" s="290">
        <f t="shared" si="100"/>
        <v>1000</v>
      </c>
      <c r="M286" s="354">
        <f t="shared" si="112"/>
        <v>1</v>
      </c>
      <c r="N286" s="353"/>
      <c r="O286" s="431"/>
      <c r="P286" s="119">
        <v>1000</v>
      </c>
      <c r="Q286" s="119"/>
      <c r="R286" s="119"/>
      <c r="S286" s="119"/>
      <c r="T286" s="119"/>
      <c r="U286" s="119"/>
      <c r="V286" s="119"/>
      <c r="W286" s="356"/>
      <c r="X286" s="290"/>
      <c r="Y286" s="119">
        <v>1000</v>
      </c>
      <c r="Z286" s="119"/>
      <c r="AA286" s="119"/>
      <c r="AB286" s="119"/>
      <c r="AC286" s="119"/>
      <c r="AD286" s="119"/>
      <c r="AE286" s="355"/>
      <c r="AF286" s="356"/>
    </row>
    <row r="287" spans="1:103" s="351" customFormat="1" ht="15.75" x14ac:dyDescent="0.25">
      <c r="A287" s="345" t="s">
        <v>219</v>
      </c>
      <c r="B287" s="474" t="s">
        <v>695</v>
      </c>
      <c r="C287" s="430">
        <f>+C288+C289+C290+C292+C291</f>
        <v>6611.7799999999988</v>
      </c>
      <c r="D287" s="455">
        <f>+D288+D289+D290+D292+D291</f>
        <v>6155</v>
      </c>
      <c r="E287" s="274">
        <f>+E288+E289+E290+E292+E291</f>
        <v>15364.36</v>
      </c>
      <c r="F287" s="455">
        <f>+F288+F289+F290+F292+F291</f>
        <v>10255</v>
      </c>
      <c r="G287" s="292">
        <f t="shared" si="93"/>
        <v>0.60019502681618719</v>
      </c>
      <c r="H287" s="489">
        <f t="shared" si="111"/>
        <v>1.5510195439049699</v>
      </c>
      <c r="I287" s="349"/>
      <c r="J287" s="347">
        <f>SUM(J288:J292)</f>
        <v>6655</v>
      </c>
      <c r="K287" s="291"/>
      <c r="L287" s="291">
        <f t="shared" si="100"/>
        <v>10255</v>
      </c>
      <c r="M287" s="348">
        <f t="shared" si="112"/>
        <v>0.64895173086299363</v>
      </c>
      <c r="N287" s="392"/>
      <c r="O287" s="430">
        <f t="shared" ref="O287:AF287" si="117">SUM(O288:O292)</f>
        <v>0</v>
      </c>
      <c r="P287" s="455">
        <f t="shared" si="117"/>
        <v>900</v>
      </c>
      <c r="Q287" s="455">
        <f t="shared" si="117"/>
        <v>0</v>
      </c>
      <c r="R287" s="455">
        <f t="shared" si="117"/>
        <v>0</v>
      </c>
      <c r="S287" s="455">
        <f t="shared" si="117"/>
        <v>0</v>
      </c>
      <c r="T287" s="455">
        <f t="shared" si="117"/>
        <v>0</v>
      </c>
      <c r="U287" s="455">
        <f t="shared" si="117"/>
        <v>0</v>
      </c>
      <c r="V287" s="455">
        <f t="shared" si="117"/>
        <v>5755</v>
      </c>
      <c r="W287" s="350">
        <f t="shared" si="117"/>
        <v>0</v>
      </c>
      <c r="X287" s="349">
        <f t="shared" si="117"/>
        <v>3600</v>
      </c>
      <c r="Y287" s="455">
        <f t="shared" si="117"/>
        <v>900</v>
      </c>
      <c r="Z287" s="455">
        <f t="shared" si="117"/>
        <v>0</v>
      </c>
      <c r="AA287" s="455">
        <f t="shared" si="117"/>
        <v>0</v>
      </c>
      <c r="AB287" s="455">
        <f t="shared" si="117"/>
        <v>0</v>
      </c>
      <c r="AC287" s="455">
        <f t="shared" si="117"/>
        <v>0</v>
      </c>
      <c r="AD287" s="455">
        <f t="shared" si="117"/>
        <v>0</v>
      </c>
      <c r="AE287" s="455">
        <f t="shared" si="117"/>
        <v>5755</v>
      </c>
      <c r="AF287" s="350">
        <f t="shared" si="117"/>
        <v>0</v>
      </c>
      <c r="AG287" s="293"/>
      <c r="AH287" s="293"/>
      <c r="AI287" s="293"/>
      <c r="AJ287" s="293"/>
      <c r="AK287" s="293"/>
      <c r="AL287" s="293"/>
      <c r="AM287" s="293"/>
      <c r="AN287" s="293"/>
      <c r="AO287" s="293"/>
      <c r="AP287" s="293"/>
      <c r="AQ287" s="293"/>
      <c r="AR287" s="293"/>
      <c r="AS287" s="293"/>
      <c r="AT287" s="293"/>
      <c r="AU287" s="293"/>
      <c r="AV287" s="293"/>
      <c r="AW287" s="293"/>
      <c r="AX287" s="293"/>
      <c r="AY287" s="293"/>
      <c r="AZ287" s="293"/>
      <c r="BA287" s="293"/>
      <c r="BB287" s="293"/>
      <c r="BC287" s="293"/>
      <c r="BD287" s="293"/>
      <c r="BE287" s="293"/>
      <c r="BF287" s="293"/>
      <c r="BG287" s="293"/>
      <c r="BH287" s="293"/>
      <c r="BI287" s="293"/>
      <c r="BJ287" s="293"/>
      <c r="BK287" s="293"/>
      <c r="BL287" s="293"/>
      <c r="BM287" s="293"/>
      <c r="BN287" s="293"/>
      <c r="BO287" s="293"/>
      <c r="BP287" s="293"/>
      <c r="BQ287" s="293"/>
      <c r="BR287" s="293"/>
      <c r="BS287" s="293"/>
      <c r="BT287" s="293"/>
      <c r="BU287" s="293"/>
      <c r="BV287" s="293"/>
      <c r="BW287" s="293"/>
      <c r="BX287" s="293"/>
      <c r="BY287" s="293"/>
      <c r="BZ287" s="293"/>
      <c r="CA287" s="293"/>
      <c r="CB287" s="293"/>
      <c r="CC287" s="293"/>
      <c r="CD287" s="293"/>
      <c r="CE287" s="293"/>
      <c r="CF287" s="293"/>
      <c r="CG287" s="293"/>
      <c r="CH287" s="293"/>
      <c r="CI287" s="293"/>
      <c r="CJ287" s="293"/>
      <c r="CK287" s="293"/>
      <c r="CL287" s="293"/>
      <c r="CM287" s="293"/>
      <c r="CN287" s="293"/>
      <c r="CO287" s="293"/>
      <c r="CP287" s="293"/>
      <c r="CQ287" s="293"/>
      <c r="CR287" s="293"/>
      <c r="CS287" s="293"/>
      <c r="CT287" s="293"/>
      <c r="CU287" s="293"/>
      <c r="CV287" s="293"/>
      <c r="CW287" s="293"/>
      <c r="CX287" s="293"/>
      <c r="CY287" s="293"/>
    </row>
    <row r="288" spans="1:103" outlineLevel="1" x14ac:dyDescent="0.25">
      <c r="A288" s="352" t="s">
        <v>220</v>
      </c>
      <c r="B288" s="475" t="s">
        <v>1318</v>
      </c>
      <c r="C288" s="431">
        <v>392.08</v>
      </c>
      <c r="D288" s="119">
        <v>500</v>
      </c>
      <c r="E288" s="110">
        <v>896.89</v>
      </c>
      <c r="F288" s="119">
        <f>+L288</f>
        <v>700</v>
      </c>
      <c r="G288" s="294">
        <f t="shared" ref="G288:G351" si="118">+D288/F288</f>
        <v>0.7142857142857143</v>
      </c>
      <c r="H288" s="490">
        <f t="shared" si="111"/>
        <v>1.7853499285860028</v>
      </c>
      <c r="I288" s="290"/>
      <c r="J288" s="119">
        <f t="shared" si="115"/>
        <v>700</v>
      </c>
      <c r="K288" s="290"/>
      <c r="L288" s="290">
        <f t="shared" si="100"/>
        <v>700</v>
      </c>
      <c r="M288" s="354">
        <f t="shared" si="112"/>
        <v>1</v>
      </c>
      <c r="N288" s="353"/>
      <c r="O288" s="431"/>
      <c r="P288" s="119">
        <v>700</v>
      </c>
      <c r="Q288" s="119"/>
      <c r="R288" s="119"/>
      <c r="S288" s="119"/>
      <c r="T288" s="119"/>
      <c r="U288" s="119"/>
      <c r="V288" s="119"/>
      <c r="W288" s="356"/>
      <c r="X288" s="290"/>
      <c r="Y288" s="119">
        <v>700</v>
      </c>
      <c r="Z288" s="119"/>
      <c r="AA288" s="119"/>
      <c r="AB288" s="119"/>
      <c r="AC288" s="119"/>
      <c r="AD288" s="119"/>
      <c r="AE288" s="355"/>
      <c r="AF288" s="356"/>
    </row>
    <row r="289" spans="1:103" outlineLevel="1" x14ac:dyDescent="0.25">
      <c r="A289" s="352" t="s">
        <v>221</v>
      </c>
      <c r="B289" s="475" t="s">
        <v>913</v>
      </c>
      <c r="C289" s="431">
        <v>346.65</v>
      </c>
      <c r="D289" s="119">
        <v>500</v>
      </c>
      <c r="E289" s="110"/>
      <c r="F289" s="119">
        <f>+L289</f>
        <v>600</v>
      </c>
      <c r="G289" s="294">
        <f t="shared" si="118"/>
        <v>0.83333333333333337</v>
      </c>
      <c r="H289" s="490">
        <f t="shared" si="111"/>
        <v>1.7308524448290785</v>
      </c>
      <c r="I289" s="290"/>
      <c r="J289" s="119">
        <f t="shared" si="115"/>
        <v>600</v>
      </c>
      <c r="K289" s="290"/>
      <c r="L289" s="290">
        <f t="shared" si="100"/>
        <v>600</v>
      </c>
      <c r="M289" s="354">
        <f t="shared" si="112"/>
        <v>1</v>
      </c>
      <c r="N289" s="353"/>
      <c r="O289" s="431"/>
      <c r="P289" s="119">
        <v>200</v>
      </c>
      <c r="Q289" s="119"/>
      <c r="R289" s="119"/>
      <c r="S289" s="119"/>
      <c r="T289" s="119"/>
      <c r="U289" s="119"/>
      <c r="V289" s="119">
        <v>400</v>
      </c>
      <c r="W289" s="356"/>
      <c r="X289" s="290"/>
      <c r="Y289" s="119">
        <v>200</v>
      </c>
      <c r="Z289" s="119"/>
      <c r="AA289" s="119"/>
      <c r="AB289" s="119"/>
      <c r="AC289" s="119"/>
      <c r="AD289" s="119"/>
      <c r="AE289" s="355">
        <v>400</v>
      </c>
      <c r="AF289" s="356"/>
    </row>
    <row r="290" spans="1:103" outlineLevel="1" x14ac:dyDescent="0.25">
      <c r="A290" s="352" t="s">
        <v>977</v>
      </c>
      <c r="B290" s="475" t="s">
        <v>951</v>
      </c>
      <c r="C290" s="431">
        <v>4655.49</v>
      </c>
      <c r="D290" s="119">
        <f>+J290</f>
        <v>4655</v>
      </c>
      <c r="E290" s="110">
        <v>11537.2</v>
      </c>
      <c r="F290" s="119">
        <v>4655</v>
      </c>
      <c r="G290" s="294">
        <f t="shared" si="118"/>
        <v>1</v>
      </c>
      <c r="H290" s="490">
        <f t="shared" si="111"/>
        <v>0.99989474792127153</v>
      </c>
      <c r="I290" s="290"/>
      <c r="J290" s="119">
        <f t="shared" si="115"/>
        <v>4655</v>
      </c>
      <c r="K290" s="290"/>
      <c r="L290" s="290">
        <f t="shared" si="100"/>
        <v>4655</v>
      </c>
      <c r="M290" s="354">
        <f t="shared" si="112"/>
        <v>1</v>
      </c>
      <c r="N290" s="353"/>
      <c r="O290" s="431"/>
      <c r="P290" s="119"/>
      <c r="Q290" s="119"/>
      <c r="R290" s="119"/>
      <c r="S290" s="119"/>
      <c r="T290" s="119"/>
      <c r="U290" s="119"/>
      <c r="V290" s="119">
        <f>+AE290</f>
        <v>4655</v>
      </c>
      <c r="W290" s="356"/>
      <c r="X290" s="290"/>
      <c r="Y290" s="119"/>
      <c r="Z290" s="119"/>
      <c r="AA290" s="119"/>
      <c r="AB290" s="119"/>
      <c r="AC290" s="119"/>
      <c r="AD290" s="119"/>
      <c r="AE290" s="355">
        <v>4655</v>
      </c>
      <c r="AF290" s="356"/>
    </row>
    <row r="291" spans="1:103" outlineLevel="1" x14ac:dyDescent="0.25">
      <c r="A291" s="352" t="s">
        <v>222</v>
      </c>
      <c r="B291" s="475" t="s">
        <v>1308</v>
      </c>
      <c r="C291" s="431"/>
      <c r="D291" s="119">
        <f>+J291</f>
        <v>0</v>
      </c>
      <c r="E291" s="110">
        <v>573.01</v>
      </c>
      <c r="F291" s="119">
        <f>+L291</f>
        <v>3600</v>
      </c>
      <c r="G291" s="294">
        <f t="shared" si="118"/>
        <v>0</v>
      </c>
      <c r="H291" s="490"/>
      <c r="I291" s="290"/>
      <c r="J291" s="119">
        <f t="shared" si="115"/>
        <v>0</v>
      </c>
      <c r="K291" s="290"/>
      <c r="L291" s="290">
        <f t="shared" si="100"/>
        <v>3600</v>
      </c>
      <c r="M291" s="354">
        <f t="shared" si="112"/>
        <v>0</v>
      </c>
      <c r="N291" s="353"/>
      <c r="O291" s="431"/>
      <c r="P291" s="119"/>
      <c r="Q291" s="119"/>
      <c r="R291" s="119"/>
      <c r="S291" s="119"/>
      <c r="T291" s="119"/>
      <c r="U291" s="119"/>
      <c r="V291" s="119"/>
      <c r="W291" s="356"/>
      <c r="X291" s="290">
        <f>3000+600</f>
        <v>3600</v>
      </c>
      <c r="Y291" s="119"/>
      <c r="Z291" s="119"/>
      <c r="AA291" s="119"/>
      <c r="AB291" s="119"/>
      <c r="AC291" s="119"/>
      <c r="AD291" s="119"/>
      <c r="AE291" s="355"/>
      <c r="AF291" s="356"/>
    </row>
    <row r="292" spans="1:103" outlineLevel="1" x14ac:dyDescent="0.25">
      <c r="A292" s="352" t="s">
        <v>1087</v>
      </c>
      <c r="B292" s="475" t="s">
        <v>47</v>
      </c>
      <c r="C292" s="431">
        <v>1217.56</v>
      </c>
      <c r="D292" s="119">
        <v>500</v>
      </c>
      <c r="E292" s="110">
        <v>2357.2600000000002</v>
      </c>
      <c r="F292" s="119">
        <f>+L292</f>
        <v>700</v>
      </c>
      <c r="G292" s="294">
        <f t="shared" si="118"/>
        <v>0.7142857142857143</v>
      </c>
      <c r="H292" s="490">
        <f t="shared" ref="H292:H312" si="119">+F292/C292</f>
        <v>0.57492033246821517</v>
      </c>
      <c r="I292" s="290"/>
      <c r="J292" s="119">
        <f t="shared" si="115"/>
        <v>700</v>
      </c>
      <c r="K292" s="290"/>
      <c r="L292" s="290">
        <f t="shared" si="100"/>
        <v>700</v>
      </c>
      <c r="M292" s="354">
        <f t="shared" si="112"/>
        <v>1</v>
      </c>
      <c r="N292" s="353"/>
      <c r="O292" s="431"/>
      <c r="P292" s="119"/>
      <c r="Q292" s="119"/>
      <c r="R292" s="119"/>
      <c r="S292" s="119"/>
      <c r="T292" s="119"/>
      <c r="U292" s="119"/>
      <c r="V292" s="119">
        <v>700</v>
      </c>
      <c r="W292" s="356"/>
      <c r="X292" s="290"/>
      <c r="Y292" s="119"/>
      <c r="Z292" s="119"/>
      <c r="AA292" s="119"/>
      <c r="AB292" s="119"/>
      <c r="AC292" s="119"/>
      <c r="AD292" s="119"/>
      <c r="AE292" s="355">
        <v>700</v>
      </c>
      <c r="AF292" s="356"/>
    </row>
    <row r="293" spans="1:103" s="351" customFormat="1" ht="15.75" x14ac:dyDescent="0.25">
      <c r="A293" s="345" t="s">
        <v>223</v>
      </c>
      <c r="B293" s="474" t="s">
        <v>495</v>
      </c>
      <c r="C293" s="430">
        <f>+C294</f>
        <v>3900</v>
      </c>
      <c r="D293" s="455">
        <f>+D294</f>
        <v>3900</v>
      </c>
      <c r="E293" s="274">
        <f>+E294</f>
        <v>3900</v>
      </c>
      <c r="F293" s="455">
        <f>+F294</f>
        <v>3900</v>
      </c>
      <c r="G293" s="292">
        <f t="shared" si="118"/>
        <v>1</v>
      </c>
      <c r="H293" s="489">
        <f t="shared" si="119"/>
        <v>1</v>
      </c>
      <c r="I293" s="349"/>
      <c r="J293" s="347">
        <f t="shared" si="115"/>
        <v>3900</v>
      </c>
      <c r="K293" s="291"/>
      <c r="L293" s="291">
        <f t="shared" si="100"/>
        <v>3900</v>
      </c>
      <c r="M293" s="348">
        <f t="shared" si="112"/>
        <v>1</v>
      </c>
      <c r="N293" s="392"/>
      <c r="O293" s="430">
        <f t="shared" ref="O293:AF293" si="120">SUM(O294:O294)</f>
        <v>0</v>
      </c>
      <c r="P293" s="455">
        <f t="shared" si="120"/>
        <v>0</v>
      </c>
      <c r="Q293" s="455">
        <f t="shared" si="120"/>
        <v>0</v>
      </c>
      <c r="R293" s="455">
        <f t="shared" si="120"/>
        <v>0</v>
      </c>
      <c r="S293" s="455">
        <f t="shared" si="120"/>
        <v>0</v>
      </c>
      <c r="T293" s="455">
        <f t="shared" si="120"/>
        <v>0</v>
      </c>
      <c r="U293" s="455">
        <f t="shared" si="120"/>
        <v>0</v>
      </c>
      <c r="V293" s="455">
        <f t="shared" si="120"/>
        <v>3900</v>
      </c>
      <c r="W293" s="350">
        <f t="shared" si="120"/>
        <v>0</v>
      </c>
      <c r="X293" s="349">
        <f t="shared" si="120"/>
        <v>0</v>
      </c>
      <c r="Y293" s="455">
        <f t="shared" si="120"/>
        <v>0</v>
      </c>
      <c r="Z293" s="455">
        <f t="shared" si="120"/>
        <v>0</v>
      </c>
      <c r="AA293" s="455">
        <f t="shared" si="120"/>
        <v>0</v>
      </c>
      <c r="AB293" s="455">
        <f t="shared" si="120"/>
        <v>0</v>
      </c>
      <c r="AC293" s="455">
        <f t="shared" si="120"/>
        <v>0</v>
      </c>
      <c r="AD293" s="455">
        <f t="shared" si="120"/>
        <v>0</v>
      </c>
      <c r="AE293" s="455">
        <f t="shared" si="120"/>
        <v>3900</v>
      </c>
      <c r="AF293" s="350">
        <f t="shared" si="120"/>
        <v>0</v>
      </c>
      <c r="AG293" s="293"/>
      <c r="AH293" s="293"/>
      <c r="AI293" s="293"/>
      <c r="AJ293" s="293"/>
      <c r="AK293" s="293"/>
      <c r="AL293" s="293"/>
      <c r="AM293" s="293"/>
      <c r="AN293" s="293"/>
      <c r="AO293" s="293"/>
      <c r="AP293" s="293"/>
      <c r="AQ293" s="293"/>
      <c r="AR293" s="293"/>
      <c r="AS293" s="293"/>
      <c r="AT293" s="293"/>
      <c r="AU293" s="293"/>
      <c r="AV293" s="293"/>
      <c r="AW293" s="293"/>
      <c r="AX293" s="293"/>
      <c r="AY293" s="293"/>
      <c r="AZ293" s="293"/>
      <c r="BA293" s="293"/>
      <c r="BB293" s="293"/>
      <c r="BC293" s="293"/>
      <c r="BD293" s="293"/>
      <c r="BE293" s="293"/>
      <c r="BF293" s="293"/>
      <c r="BG293" s="293"/>
      <c r="BH293" s="293"/>
      <c r="BI293" s="293"/>
      <c r="BJ293" s="293"/>
      <c r="BK293" s="293"/>
      <c r="BL293" s="293"/>
      <c r="BM293" s="293"/>
      <c r="BN293" s="293"/>
      <c r="BO293" s="293"/>
      <c r="BP293" s="293"/>
      <c r="BQ293" s="293"/>
      <c r="BR293" s="293"/>
      <c r="BS293" s="293"/>
      <c r="BT293" s="293"/>
      <c r="BU293" s="293"/>
      <c r="BV293" s="293"/>
      <c r="BW293" s="293"/>
      <c r="BX293" s="293"/>
      <c r="BY293" s="293"/>
      <c r="BZ293" s="293"/>
      <c r="CA293" s="293"/>
      <c r="CB293" s="293"/>
      <c r="CC293" s="293"/>
      <c r="CD293" s="293"/>
      <c r="CE293" s="293"/>
      <c r="CF293" s="293"/>
      <c r="CG293" s="293"/>
      <c r="CH293" s="293"/>
      <c r="CI293" s="293"/>
      <c r="CJ293" s="293"/>
      <c r="CK293" s="293"/>
      <c r="CL293" s="293"/>
      <c r="CM293" s="293"/>
      <c r="CN293" s="293"/>
      <c r="CO293" s="293"/>
      <c r="CP293" s="293"/>
      <c r="CQ293" s="293"/>
      <c r="CR293" s="293"/>
      <c r="CS293" s="293"/>
      <c r="CT293" s="293"/>
      <c r="CU293" s="293"/>
      <c r="CV293" s="293"/>
      <c r="CW293" s="293"/>
      <c r="CX293" s="293"/>
      <c r="CY293" s="293"/>
    </row>
    <row r="294" spans="1:103" outlineLevel="1" x14ac:dyDescent="0.25">
      <c r="A294" s="352" t="s">
        <v>224</v>
      </c>
      <c r="B294" s="475" t="s">
        <v>495</v>
      </c>
      <c r="C294" s="431">
        <v>3900</v>
      </c>
      <c r="D294" s="119">
        <v>3900</v>
      </c>
      <c r="E294" s="110">
        <v>3900</v>
      </c>
      <c r="F294" s="119">
        <f>+L294</f>
        <v>3900</v>
      </c>
      <c r="G294" s="294">
        <f t="shared" si="118"/>
        <v>1</v>
      </c>
      <c r="H294" s="490">
        <f t="shared" si="119"/>
        <v>1</v>
      </c>
      <c r="I294" s="290"/>
      <c r="J294" s="119">
        <f t="shared" si="115"/>
        <v>3900</v>
      </c>
      <c r="K294" s="290"/>
      <c r="L294" s="290">
        <f t="shared" si="100"/>
        <v>3900</v>
      </c>
      <c r="M294" s="354">
        <f t="shared" si="112"/>
        <v>1</v>
      </c>
      <c r="N294" s="353"/>
      <c r="O294" s="431"/>
      <c r="P294" s="119"/>
      <c r="Q294" s="119"/>
      <c r="R294" s="119"/>
      <c r="S294" s="119"/>
      <c r="T294" s="119"/>
      <c r="U294" s="119"/>
      <c r="V294" s="119">
        <v>3900</v>
      </c>
      <c r="W294" s="356"/>
      <c r="X294" s="290"/>
      <c r="Y294" s="119"/>
      <c r="Z294" s="119"/>
      <c r="AA294" s="119"/>
      <c r="AB294" s="119"/>
      <c r="AC294" s="119"/>
      <c r="AD294" s="119"/>
      <c r="AE294" s="355">
        <v>3900</v>
      </c>
      <c r="AF294" s="356"/>
    </row>
    <row r="295" spans="1:103" s="344" customFormat="1" ht="21" x14ac:dyDescent="0.35">
      <c r="A295" s="338" t="s">
        <v>226</v>
      </c>
      <c r="B295" s="473" t="s">
        <v>589</v>
      </c>
      <c r="C295" s="429">
        <f>+C296+C302+C315+C318</f>
        <v>158588.19999999998</v>
      </c>
      <c r="D295" s="339">
        <f>+D296+D302+D315+D318</f>
        <v>117562.95</v>
      </c>
      <c r="E295" s="501">
        <f>+E296+E302+E315+E318</f>
        <v>122315.15999999999</v>
      </c>
      <c r="F295" s="339">
        <f>+F296+F302+F315+F318</f>
        <v>109395</v>
      </c>
      <c r="G295" s="340">
        <f t="shared" si="118"/>
        <v>1.0746647470176882</v>
      </c>
      <c r="H295" s="488">
        <f t="shared" si="119"/>
        <v>0.6898054205798414</v>
      </c>
      <c r="I295" s="288">
        <v>131000</v>
      </c>
      <c r="J295" s="339">
        <f t="shared" si="115"/>
        <v>94988.32</v>
      </c>
      <c r="K295" s="288">
        <v>72418.259999999995</v>
      </c>
      <c r="L295" s="288">
        <f t="shared" si="100"/>
        <v>94164</v>
      </c>
      <c r="M295" s="342">
        <f t="shared" si="112"/>
        <v>1.0087540886113591</v>
      </c>
      <c r="N295" s="341">
        <f>+L295/I295</f>
        <v>0.71880916030534348</v>
      </c>
      <c r="O295" s="429">
        <f t="shared" ref="O295:W295" si="121">O296+O302+O315+O318</f>
        <v>26154</v>
      </c>
      <c r="P295" s="339">
        <f t="shared" si="121"/>
        <v>0</v>
      </c>
      <c r="Q295" s="339">
        <f t="shared" si="121"/>
        <v>0</v>
      </c>
      <c r="R295" s="339">
        <f t="shared" si="121"/>
        <v>18750</v>
      </c>
      <c r="S295" s="339">
        <f t="shared" si="121"/>
        <v>0</v>
      </c>
      <c r="T295" s="339">
        <f t="shared" si="121"/>
        <v>0</v>
      </c>
      <c r="U295" s="339">
        <f t="shared" si="121"/>
        <v>0</v>
      </c>
      <c r="V295" s="339">
        <f t="shared" si="121"/>
        <v>50084.32</v>
      </c>
      <c r="W295" s="461">
        <f t="shared" si="121"/>
        <v>0</v>
      </c>
      <c r="X295" s="288">
        <f>+X296+X302+X315+X318</f>
        <v>25114</v>
      </c>
      <c r="Y295" s="288">
        <f>+Y296+Y302+Y315+Y318</f>
        <v>0</v>
      </c>
      <c r="Z295" s="288">
        <f>+Z296+Z302+Z315+Z318</f>
        <v>0</v>
      </c>
      <c r="AA295" s="288">
        <f>+AA296+AA302+AA315+AA318</f>
        <v>18750</v>
      </c>
      <c r="AB295" s="288"/>
      <c r="AC295" s="288">
        <f>+AC296+AC302+AC315+AC318</f>
        <v>0</v>
      </c>
      <c r="AD295" s="288">
        <f>+AD296+AD302+AD315+AD318</f>
        <v>0</v>
      </c>
      <c r="AE295" s="288">
        <f>+AE296+AE302+AE315+AE318</f>
        <v>50300</v>
      </c>
      <c r="AF295" s="289">
        <f>+AF296+AF302+AF315+AF318</f>
        <v>0</v>
      </c>
      <c r="AG295" s="343"/>
      <c r="AH295" s="343"/>
      <c r="AI295" s="343"/>
      <c r="AJ295" s="343"/>
      <c r="AK295" s="343"/>
      <c r="AL295" s="343"/>
      <c r="AM295" s="343"/>
      <c r="AN295" s="343"/>
      <c r="AO295" s="343"/>
      <c r="AP295" s="343"/>
      <c r="AQ295" s="343"/>
      <c r="AR295" s="343"/>
      <c r="AS295" s="343"/>
      <c r="AT295" s="343"/>
      <c r="AU295" s="343"/>
      <c r="AV295" s="343"/>
      <c r="AW295" s="343"/>
      <c r="AX295" s="343"/>
      <c r="AY295" s="343"/>
      <c r="AZ295" s="343"/>
      <c r="BA295" s="343"/>
      <c r="BB295" s="343"/>
      <c r="BC295" s="343"/>
      <c r="BD295" s="343"/>
      <c r="BE295" s="343"/>
      <c r="BF295" s="343"/>
      <c r="BG295" s="343"/>
      <c r="BH295" s="343"/>
      <c r="BI295" s="343"/>
      <c r="BJ295" s="343"/>
      <c r="BK295" s="343"/>
      <c r="BL295" s="343"/>
      <c r="BM295" s="343"/>
      <c r="BN295" s="343"/>
      <c r="BO295" s="343"/>
      <c r="BP295" s="343"/>
      <c r="BQ295" s="343"/>
      <c r="BR295" s="343"/>
      <c r="BS295" s="343"/>
      <c r="BT295" s="343"/>
      <c r="BU295" s="343"/>
      <c r="BV295" s="343"/>
      <c r="BW295" s="343"/>
      <c r="BX295" s="343"/>
      <c r="BY295" s="343"/>
      <c r="BZ295" s="343"/>
      <c r="CA295" s="343"/>
      <c r="CB295" s="343"/>
      <c r="CC295" s="343"/>
      <c r="CD295" s="343"/>
      <c r="CE295" s="343"/>
      <c r="CF295" s="343"/>
      <c r="CG295" s="343"/>
      <c r="CH295" s="343"/>
      <c r="CI295" s="343"/>
      <c r="CJ295" s="343"/>
      <c r="CK295" s="343"/>
      <c r="CL295" s="343"/>
      <c r="CM295" s="343"/>
      <c r="CN295" s="343"/>
      <c r="CO295" s="343"/>
      <c r="CP295" s="343"/>
      <c r="CQ295" s="343"/>
      <c r="CR295" s="343"/>
      <c r="CS295" s="343"/>
      <c r="CT295" s="343"/>
      <c r="CU295" s="343"/>
      <c r="CV295" s="343"/>
      <c r="CW295" s="343"/>
      <c r="CX295" s="343"/>
      <c r="CY295" s="343"/>
    </row>
    <row r="296" spans="1:103" s="351" customFormat="1" ht="15.75" x14ac:dyDescent="0.25">
      <c r="A296" s="345" t="s">
        <v>230</v>
      </c>
      <c r="B296" s="474" t="s">
        <v>211</v>
      </c>
      <c r="C296" s="430">
        <f>+C297+C298+C299+C300+C301</f>
        <v>11966.66</v>
      </c>
      <c r="D296" s="455">
        <f>+D297+D298+D299+D300+D301</f>
        <v>9000</v>
      </c>
      <c r="E296" s="274">
        <f>+E297+E298+E299+E300+E301</f>
        <v>14604.98</v>
      </c>
      <c r="F296" s="455">
        <f>+F297+F298+F299+F300+F301</f>
        <v>9900</v>
      </c>
      <c r="G296" s="292">
        <f t="shared" si="118"/>
        <v>0.90909090909090906</v>
      </c>
      <c r="H296" s="489">
        <f t="shared" si="119"/>
        <v>0.82729851102981122</v>
      </c>
      <c r="I296" s="349"/>
      <c r="J296" s="347">
        <f>SUM(J297:J301)</f>
        <v>9700</v>
      </c>
      <c r="K296" s="291"/>
      <c r="L296" s="291">
        <f t="shared" si="100"/>
        <v>9700</v>
      </c>
      <c r="M296" s="348">
        <f t="shared" si="112"/>
        <v>1</v>
      </c>
      <c r="N296" s="392"/>
      <c r="O296" s="430">
        <f>SUM(O297:O301)</f>
        <v>9700</v>
      </c>
      <c r="P296" s="455">
        <f t="shared" ref="P296:AF296" si="122">SUM(P297:P301)</f>
        <v>0</v>
      </c>
      <c r="Q296" s="455">
        <f t="shared" si="122"/>
        <v>0</v>
      </c>
      <c r="R296" s="455">
        <f t="shared" si="122"/>
        <v>0</v>
      </c>
      <c r="S296" s="455">
        <f t="shared" si="122"/>
        <v>0</v>
      </c>
      <c r="T296" s="455">
        <f t="shared" si="122"/>
        <v>0</v>
      </c>
      <c r="U296" s="455">
        <f t="shared" si="122"/>
        <v>0</v>
      </c>
      <c r="V296" s="455">
        <f t="shared" si="122"/>
        <v>0</v>
      </c>
      <c r="W296" s="350">
        <f t="shared" si="122"/>
        <v>0</v>
      </c>
      <c r="X296" s="349">
        <f t="shared" si="122"/>
        <v>9700</v>
      </c>
      <c r="Y296" s="455">
        <f t="shared" si="122"/>
        <v>0</v>
      </c>
      <c r="Z296" s="455">
        <f t="shared" si="122"/>
        <v>0</v>
      </c>
      <c r="AA296" s="455">
        <f t="shared" si="122"/>
        <v>0</v>
      </c>
      <c r="AB296" s="455">
        <f t="shared" si="122"/>
        <v>0</v>
      </c>
      <c r="AC296" s="455">
        <f t="shared" si="122"/>
        <v>0</v>
      </c>
      <c r="AD296" s="455">
        <f t="shared" si="122"/>
        <v>0</v>
      </c>
      <c r="AE296" s="455">
        <f t="shared" si="122"/>
        <v>0</v>
      </c>
      <c r="AF296" s="350">
        <f t="shared" si="122"/>
        <v>0</v>
      </c>
      <c r="AG296" s="293"/>
      <c r="AH296" s="293"/>
      <c r="AI296" s="293"/>
      <c r="AJ296" s="293"/>
      <c r="AK296" s="293"/>
      <c r="AL296" s="293"/>
      <c r="AM296" s="293"/>
      <c r="AN296" s="293"/>
      <c r="AO296" s="293"/>
      <c r="AP296" s="293"/>
      <c r="AQ296" s="293"/>
      <c r="AR296" s="293"/>
      <c r="AS296" s="293"/>
      <c r="AT296" s="293"/>
      <c r="AU296" s="293"/>
      <c r="AV296" s="293"/>
      <c r="AW296" s="293"/>
      <c r="AX296" s="293"/>
      <c r="AY296" s="293"/>
      <c r="AZ296" s="293"/>
      <c r="BA296" s="293"/>
      <c r="BB296" s="293"/>
      <c r="BC296" s="293"/>
      <c r="BD296" s="293"/>
      <c r="BE296" s="293"/>
      <c r="BF296" s="293"/>
      <c r="BG296" s="293"/>
      <c r="BH296" s="293"/>
      <c r="BI296" s="293"/>
      <c r="BJ296" s="293"/>
      <c r="BK296" s="293"/>
      <c r="BL296" s="293"/>
      <c r="BM296" s="293"/>
      <c r="BN296" s="293"/>
      <c r="BO296" s="293"/>
      <c r="BP296" s="293"/>
      <c r="BQ296" s="293"/>
      <c r="BR296" s="293"/>
      <c r="BS296" s="293"/>
      <c r="BT296" s="293"/>
      <c r="BU296" s="293"/>
      <c r="BV296" s="293"/>
      <c r="BW296" s="293"/>
      <c r="BX296" s="293"/>
      <c r="BY296" s="293"/>
      <c r="BZ296" s="293"/>
      <c r="CA296" s="293"/>
      <c r="CB296" s="293"/>
      <c r="CC296" s="293"/>
      <c r="CD296" s="293"/>
      <c r="CE296" s="293"/>
      <c r="CF296" s="293"/>
      <c r="CG296" s="293"/>
      <c r="CH296" s="293"/>
      <c r="CI296" s="293"/>
      <c r="CJ296" s="293"/>
      <c r="CK296" s="293"/>
      <c r="CL296" s="293"/>
      <c r="CM296" s="293"/>
      <c r="CN296" s="293"/>
      <c r="CO296" s="293"/>
      <c r="CP296" s="293"/>
      <c r="CQ296" s="293"/>
      <c r="CR296" s="293"/>
      <c r="CS296" s="293"/>
      <c r="CT296" s="293"/>
      <c r="CU296" s="293"/>
      <c r="CV296" s="293"/>
      <c r="CW296" s="293"/>
      <c r="CX296" s="293"/>
      <c r="CY296" s="293"/>
    </row>
    <row r="297" spans="1:103" outlineLevel="1" x14ac:dyDescent="0.25">
      <c r="A297" s="352" t="s">
        <v>231</v>
      </c>
      <c r="B297" s="475" t="s">
        <v>938</v>
      </c>
      <c r="C297" s="431">
        <v>1041.1500000000001</v>
      </c>
      <c r="D297" s="119">
        <v>500</v>
      </c>
      <c r="E297" s="110">
        <v>6.56</v>
      </c>
      <c r="F297" s="119">
        <v>1000</v>
      </c>
      <c r="G297" s="294">
        <f t="shared" si="118"/>
        <v>0.5</v>
      </c>
      <c r="H297" s="490">
        <f t="shared" si="119"/>
        <v>0.96047639629256099</v>
      </c>
      <c r="I297" s="290"/>
      <c r="J297" s="119">
        <f t="shared" ref="J297:J319" si="123">+O297+P297+Q297+R297+S297+T297+U297+V297+W297</f>
        <v>1500</v>
      </c>
      <c r="K297" s="290"/>
      <c r="L297" s="290">
        <f t="shared" si="100"/>
        <v>1500</v>
      </c>
      <c r="M297" s="354">
        <f t="shared" si="112"/>
        <v>1</v>
      </c>
      <c r="N297" s="353"/>
      <c r="O297" s="431">
        <v>1500</v>
      </c>
      <c r="P297" s="119"/>
      <c r="Q297" s="119"/>
      <c r="R297" s="119"/>
      <c r="S297" s="119"/>
      <c r="T297" s="119"/>
      <c r="U297" s="119"/>
      <c r="V297" s="119"/>
      <c r="W297" s="356"/>
      <c r="X297" s="290">
        <v>1500</v>
      </c>
      <c r="Y297" s="119"/>
      <c r="Z297" s="119"/>
      <c r="AA297" s="119"/>
      <c r="AB297" s="119"/>
      <c r="AC297" s="119"/>
      <c r="AD297" s="119"/>
      <c r="AE297" s="355"/>
      <c r="AF297" s="356"/>
    </row>
    <row r="298" spans="1:103" outlineLevel="1" x14ac:dyDescent="0.25">
      <c r="A298" s="352" t="s">
        <v>232</v>
      </c>
      <c r="B298" s="475" t="s">
        <v>939</v>
      </c>
      <c r="C298" s="431">
        <v>5671.5</v>
      </c>
      <c r="D298" s="119">
        <v>5000</v>
      </c>
      <c r="E298" s="110">
        <v>5153.6000000000004</v>
      </c>
      <c r="F298" s="119">
        <v>4000</v>
      </c>
      <c r="G298" s="294">
        <f t="shared" si="118"/>
        <v>1.25</v>
      </c>
      <c r="H298" s="490">
        <f t="shared" si="119"/>
        <v>0.70528078991448473</v>
      </c>
      <c r="I298" s="290"/>
      <c r="J298" s="119">
        <f t="shared" si="123"/>
        <v>3800</v>
      </c>
      <c r="K298" s="290"/>
      <c r="L298" s="290">
        <f t="shared" si="100"/>
        <v>3800</v>
      </c>
      <c r="M298" s="354">
        <f t="shared" si="112"/>
        <v>1</v>
      </c>
      <c r="N298" s="353"/>
      <c r="O298" s="431">
        <v>3800</v>
      </c>
      <c r="P298" s="119"/>
      <c r="Q298" s="119"/>
      <c r="R298" s="119"/>
      <c r="S298" s="119"/>
      <c r="T298" s="119"/>
      <c r="U298" s="119"/>
      <c r="V298" s="119"/>
      <c r="W298" s="356"/>
      <c r="X298" s="290">
        <v>3800</v>
      </c>
      <c r="Y298" s="119"/>
      <c r="Z298" s="119"/>
      <c r="AA298" s="119"/>
      <c r="AB298" s="119"/>
      <c r="AC298" s="119"/>
      <c r="AD298" s="119"/>
      <c r="AE298" s="355"/>
      <c r="AF298" s="356"/>
    </row>
    <row r="299" spans="1:103" outlineLevel="1" x14ac:dyDescent="0.25">
      <c r="A299" s="352" t="s">
        <v>233</v>
      </c>
      <c r="B299" s="475" t="s">
        <v>940</v>
      </c>
      <c r="C299" s="431">
        <v>771.95</v>
      </c>
      <c r="D299" s="119">
        <v>500</v>
      </c>
      <c r="E299" s="110">
        <v>3895.69</v>
      </c>
      <c r="F299" s="119">
        <f>+L299</f>
        <v>700</v>
      </c>
      <c r="G299" s="294">
        <f t="shared" si="118"/>
        <v>0.7142857142857143</v>
      </c>
      <c r="H299" s="490">
        <f t="shared" si="119"/>
        <v>0.90679448150786968</v>
      </c>
      <c r="I299" s="290"/>
      <c r="J299" s="119">
        <f t="shared" si="123"/>
        <v>700</v>
      </c>
      <c r="K299" s="290"/>
      <c r="L299" s="290">
        <f t="shared" si="100"/>
        <v>700</v>
      </c>
      <c r="M299" s="354">
        <f t="shared" si="112"/>
        <v>1</v>
      </c>
      <c r="N299" s="353"/>
      <c r="O299" s="431">
        <v>700</v>
      </c>
      <c r="P299" s="119"/>
      <c r="Q299" s="119"/>
      <c r="R299" s="119"/>
      <c r="S299" s="119"/>
      <c r="T299" s="119"/>
      <c r="U299" s="119"/>
      <c r="V299" s="119"/>
      <c r="W299" s="356"/>
      <c r="X299" s="290">
        <v>700</v>
      </c>
      <c r="Y299" s="119"/>
      <c r="Z299" s="119"/>
      <c r="AA299" s="119"/>
      <c r="AB299" s="119"/>
      <c r="AC299" s="119"/>
      <c r="AD299" s="119"/>
      <c r="AE299" s="355"/>
      <c r="AF299" s="356"/>
    </row>
    <row r="300" spans="1:103" outlineLevel="1" x14ac:dyDescent="0.25">
      <c r="A300" s="352" t="s">
        <v>820</v>
      </c>
      <c r="B300" s="475" t="s">
        <v>941</v>
      </c>
      <c r="C300" s="431">
        <v>4290.47</v>
      </c>
      <c r="D300" s="119">
        <v>2500</v>
      </c>
      <c r="E300" s="110">
        <v>2813.66</v>
      </c>
      <c r="F300" s="119">
        <v>4000</v>
      </c>
      <c r="G300" s="294">
        <f t="shared" si="118"/>
        <v>0.625</v>
      </c>
      <c r="H300" s="490">
        <f t="shared" si="119"/>
        <v>0.93229879243998903</v>
      </c>
      <c r="I300" s="290"/>
      <c r="J300" s="119">
        <f t="shared" si="123"/>
        <v>3500</v>
      </c>
      <c r="K300" s="290"/>
      <c r="L300" s="290">
        <f t="shared" si="100"/>
        <v>3500</v>
      </c>
      <c r="M300" s="354">
        <f t="shared" si="112"/>
        <v>1</v>
      </c>
      <c r="N300" s="353"/>
      <c r="O300" s="431">
        <v>3500</v>
      </c>
      <c r="P300" s="119"/>
      <c r="Q300" s="119"/>
      <c r="R300" s="119"/>
      <c r="S300" s="119"/>
      <c r="T300" s="119"/>
      <c r="U300" s="119"/>
      <c r="V300" s="119"/>
      <c r="W300" s="356"/>
      <c r="X300" s="290">
        <v>3500</v>
      </c>
      <c r="Y300" s="119"/>
      <c r="Z300" s="119"/>
      <c r="AA300" s="119"/>
      <c r="AB300" s="119"/>
      <c r="AC300" s="119"/>
      <c r="AD300" s="119"/>
      <c r="AE300" s="355"/>
      <c r="AF300" s="356"/>
    </row>
    <row r="301" spans="1:103" outlineLevel="1" x14ac:dyDescent="0.25">
      <c r="A301" s="352" t="s">
        <v>1088</v>
      </c>
      <c r="B301" s="475" t="s">
        <v>47</v>
      </c>
      <c r="C301" s="431">
        <v>191.59</v>
      </c>
      <c r="D301" s="119">
        <v>500</v>
      </c>
      <c r="E301" s="110">
        <v>2735.47</v>
      </c>
      <c r="F301" s="119">
        <f>+L301</f>
        <v>200</v>
      </c>
      <c r="G301" s="294">
        <f t="shared" si="118"/>
        <v>2.5</v>
      </c>
      <c r="H301" s="490">
        <f t="shared" si="119"/>
        <v>1.0438958191972441</v>
      </c>
      <c r="I301" s="290"/>
      <c r="J301" s="119">
        <f t="shared" si="123"/>
        <v>200</v>
      </c>
      <c r="K301" s="290"/>
      <c r="L301" s="290">
        <f t="shared" si="100"/>
        <v>200</v>
      </c>
      <c r="M301" s="354">
        <f t="shared" si="112"/>
        <v>1</v>
      </c>
      <c r="N301" s="353"/>
      <c r="O301" s="431">
        <v>200</v>
      </c>
      <c r="P301" s="119"/>
      <c r="Q301" s="119"/>
      <c r="R301" s="119"/>
      <c r="S301" s="119"/>
      <c r="T301" s="119"/>
      <c r="U301" s="119"/>
      <c r="V301" s="119"/>
      <c r="W301" s="356"/>
      <c r="X301" s="290">
        <v>200</v>
      </c>
      <c r="Y301" s="119"/>
      <c r="Z301" s="119"/>
      <c r="AA301" s="119"/>
      <c r="AB301" s="119"/>
      <c r="AC301" s="119"/>
      <c r="AD301" s="119"/>
      <c r="AE301" s="355"/>
      <c r="AF301" s="356"/>
    </row>
    <row r="302" spans="1:103" s="351" customFormat="1" ht="15.75" x14ac:dyDescent="0.25">
      <c r="A302" s="345" t="s">
        <v>234</v>
      </c>
      <c r="B302" s="474" t="s">
        <v>229</v>
      </c>
      <c r="C302" s="430">
        <f>+SUM(C303:C314)</f>
        <v>120821.35999999999</v>
      </c>
      <c r="D302" s="455">
        <f>+SUM(D303:D314)</f>
        <v>85028</v>
      </c>
      <c r="E302" s="274">
        <f>+SUM(E303:E314)</f>
        <v>90998.48</v>
      </c>
      <c r="F302" s="455">
        <f>+SUM(F303:F314)</f>
        <v>74550</v>
      </c>
      <c r="G302" s="292">
        <f t="shared" si="118"/>
        <v>1.1405499664654595</v>
      </c>
      <c r="H302" s="489">
        <f t="shared" si="119"/>
        <v>0.61702665820017266</v>
      </c>
      <c r="I302" s="349"/>
      <c r="J302" s="347">
        <f>SUM(J303:J314)</f>
        <v>69288.320000000007</v>
      </c>
      <c r="K302" s="291"/>
      <c r="L302" s="291">
        <f t="shared" si="100"/>
        <v>68464</v>
      </c>
      <c r="M302" s="348">
        <f t="shared" si="112"/>
        <v>1.0120401963075485</v>
      </c>
      <c r="N302" s="392"/>
      <c r="O302" s="430">
        <f>SUM(O303:O314)</f>
        <v>16454</v>
      </c>
      <c r="P302" s="455">
        <f t="shared" ref="P302:AF302" si="124">SUM(P303:P314)</f>
        <v>0</v>
      </c>
      <c r="Q302" s="455">
        <f t="shared" si="124"/>
        <v>0</v>
      </c>
      <c r="R302" s="455">
        <f t="shared" si="124"/>
        <v>18750</v>
      </c>
      <c r="S302" s="455">
        <f t="shared" si="124"/>
        <v>0</v>
      </c>
      <c r="T302" s="455">
        <f t="shared" si="124"/>
        <v>0</v>
      </c>
      <c r="U302" s="455">
        <f t="shared" si="124"/>
        <v>0</v>
      </c>
      <c r="V302" s="455">
        <f t="shared" si="124"/>
        <v>34084.32</v>
      </c>
      <c r="W302" s="350">
        <f t="shared" si="124"/>
        <v>0</v>
      </c>
      <c r="X302" s="349">
        <f t="shared" si="124"/>
        <v>15414</v>
      </c>
      <c r="Y302" s="455">
        <f t="shared" si="124"/>
        <v>0</v>
      </c>
      <c r="Z302" s="455">
        <f t="shared" si="124"/>
        <v>0</v>
      </c>
      <c r="AA302" s="455">
        <f t="shared" si="124"/>
        <v>18750</v>
      </c>
      <c r="AB302" s="455">
        <f t="shared" si="124"/>
        <v>0</v>
      </c>
      <c r="AC302" s="455">
        <f t="shared" si="124"/>
        <v>0</v>
      </c>
      <c r="AD302" s="455">
        <f t="shared" si="124"/>
        <v>0</v>
      </c>
      <c r="AE302" s="455">
        <f t="shared" si="124"/>
        <v>34300</v>
      </c>
      <c r="AF302" s="350">
        <f t="shared" si="124"/>
        <v>0</v>
      </c>
      <c r="AG302" s="293"/>
      <c r="AH302" s="293"/>
      <c r="AI302" s="293"/>
      <c r="AJ302" s="293"/>
      <c r="AK302" s="293"/>
      <c r="AL302" s="293"/>
      <c r="AM302" s="293"/>
      <c r="AN302" s="293"/>
      <c r="AO302" s="293"/>
      <c r="AP302" s="293"/>
      <c r="AQ302" s="293"/>
      <c r="AR302" s="293"/>
      <c r="AS302" s="293"/>
      <c r="AT302" s="293"/>
      <c r="AU302" s="293"/>
      <c r="AV302" s="293"/>
      <c r="AW302" s="293"/>
      <c r="AX302" s="293"/>
      <c r="AY302" s="293"/>
      <c r="AZ302" s="293"/>
      <c r="BA302" s="293"/>
      <c r="BB302" s="293"/>
      <c r="BC302" s="293"/>
      <c r="BD302" s="293"/>
      <c r="BE302" s="293"/>
      <c r="BF302" s="293"/>
      <c r="BG302" s="293"/>
      <c r="BH302" s="293"/>
      <c r="BI302" s="293"/>
      <c r="BJ302" s="293"/>
      <c r="BK302" s="293"/>
      <c r="BL302" s="293"/>
      <c r="BM302" s="293"/>
      <c r="BN302" s="293"/>
      <c r="BO302" s="293"/>
      <c r="BP302" s="293"/>
      <c r="BQ302" s="293"/>
      <c r="BR302" s="293"/>
      <c r="BS302" s="293"/>
      <c r="BT302" s="293"/>
      <c r="BU302" s="293"/>
      <c r="BV302" s="293"/>
      <c r="BW302" s="293"/>
      <c r="BX302" s="293"/>
      <c r="BY302" s="293"/>
      <c r="BZ302" s="293"/>
      <c r="CA302" s="293"/>
      <c r="CB302" s="293"/>
      <c r="CC302" s="293"/>
      <c r="CD302" s="293"/>
      <c r="CE302" s="293"/>
      <c r="CF302" s="293"/>
      <c r="CG302" s="293"/>
      <c r="CH302" s="293"/>
      <c r="CI302" s="293"/>
      <c r="CJ302" s="293"/>
      <c r="CK302" s="293"/>
      <c r="CL302" s="293"/>
      <c r="CM302" s="293"/>
      <c r="CN302" s="293"/>
      <c r="CO302" s="293"/>
      <c r="CP302" s="293"/>
      <c r="CQ302" s="293"/>
      <c r="CR302" s="293"/>
      <c r="CS302" s="293"/>
      <c r="CT302" s="293"/>
      <c r="CU302" s="293"/>
      <c r="CV302" s="293"/>
      <c r="CW302" s="293"/>
      <c r="CX302" s="293"/>
      <c r="CY302" s="293"/>
    </row>
    <row r="303" spans="1:103" outlineLevel="1" x14ac:dyDescent="0.25">
      <c r="A303" s="352" t="s">
        <v>822</v>
      </c>
      <c r="B303" s="475" t="s">
        <v>952</v>
      </c>
      <c r="C303" s="431">
        <v>1856.45</v>
      </c>
      <c r="D303" s="119">
        <v>2000</v>
      </c>
      <c r="E303" s="110">
        <v>1560.01</v>
      </c>
      <c r="F303" s="119">
        <f>+L303</f>
        <v>2000</v>
      </c>
      <c r="G303" s="294">
        <f t="shared" si="118"/>
        <v>1</v>
      </c>
      <c r="H303" s="490">
        <f t="shared" si="119"/>
        <v>1.0773250020199843</v>
      </c>
      <c r="I303" s="290"/>
      <c r="J303" s="119">
        <f t="shared" si="123"/>
        <v>2000</v>
      </c>
      <c r="K303" s="290"/>
      <c r="L303" s="290">
        <f t="shared" si="100"/>
        <v>2000</v>
      </c>
      <c r="M303" s="354">
        <f t="shared" si="112"/>
        <v>1</v>
      </c>
      <c r="N303" s="353"/>
      <c r="O303" s="431"/>
      <c r="P303" s="119"/>
      <c r="Q303" s="119"/>
      <c r="R303" s="119"/>
      <c r="S303" s="119"/>
      <c r="T303" s="119"/>
      <c r="U303" s="119"/>
      <c r="V303" s="119">
        <f>2500-500</f>
        <v>2000</v>
      </c>
      <c r="W303" s="356"/>
      <c r="X303" s="290"/>
      <c r="Y303" s="119"/>
      <c r="Z303" s="119"/>
      <c r="AA303" s="119"/>
      <c r="AB303" s="119"/>
      <c r="AC303" s="119"/>
      <c r="AD303" s="119"/>
      <c r="AE303" s="119">
        <v>2000</v>
      </c>
      <c r="AF303" s="356"/>
    </row>
    <row r="304" spans="1:103" outlineLevel="1" x14ac:dyDescent="0.25">
      <c r="A304" s="352" t="s">
        <v>823</v>
      </c>
      <c r="B304" s="475" t="s">
        <v>942</v>
      </c>
      <c r="C304" s="431">
        <v>5855.58</v>
      </c>
      <c r="D304" s="119">
        <f t="shared" ref="D304:D311" si="125">+J304</f>
        <v>6000</v>
      </c>
      <c r="E304" s="110">
        <v>5767.03</v>
      </c>
      <c r="F304" s="119">
        <f>+L304</f>
        <v>6000</v>
      </c>
      <c r="G304" s="294">
        <f t="shared" si="118"/>
        <v>1</v>
      </c>
      <c r="H304" s="490">
        <f t="shared" si="119"/>
        <v>1.0246636541555234</v>
      </c>
      <c r="I304" s="290"/>
      <c r="J304" s="119">
        <f t="shared" si="123"/>
        <v>6000</v>
      </c>
      <c r="K304" s="290"/>
      <c r="L304" s="290">
        <f t="shared" si="100"/>
        <v>6000</v>
      </c>
      <c r="M304" s="354">
        <f t="shared" si="112"/>
        <v>1</v>
      </c>
      <c r="N304" s="353"/>
      <c r="O304" s="431"/>
      <c r="P304" s="119"/>
      <c r="Q304" s="119"/>
      <c r="R304" s="119">
        <v>1000</v>
      </c>
      <c r="S304" s="119"/>
      <c r="T304" s="119"/>
      <c r="U304" s="119"/>
      <c r="V304" s="119">
        <v>5000</v>
      </c>
      <c r="W304" s="356"/>
      <c r="X304" s="290"/>
      <c r="Y304" s="119"/>
      <c r="Z304" s="119"/>
      <c r="AA304" s="119">
        <v>1000</v>
      </c>
      <c r="AB304" s="119"/>
      <c r="AC304" s="119"/>
      <c r="AD304" s="119"/>
      <c r="AE304" s="119">
        <v>5000</v>
      </c>
      <c r="AF304" s="356"/>
    </row>
    <row r="305" spans="1:103" outlineLevel="1" x14ac:dyDescent="0.25">
      <c r="A305" s="352" t="s">
        <v>824</v>
      </c>
      <c r="B305" s="475" t="s">
        <v>943</v>
      </c>
      <c r="C305" s="431">
        <v>6232.74</v>
      </c>
      <c r="D305" s="119">
        <v>11000</v>
      </c>
      <c r="E305" s="110">
        <v>11970.46</v>
      </c>
      <c r="F305" s="119">
        <f>+L305</f>
        <v>6000</v>
      </c>
      <c r="G305" s="294">
        <f t="shared" si="118"/>
        <v>1.8333333333333333</v>
      </c>
      <c r="H305" s="490">
        <f t="shared" si="119"/>
        <v>0.9626584776518835</v>
      </c>
      <c r="I305" s="290"/>
      <c r="J305" s="119">
        <f t="shared" si="123"/>
        <v>6000</v>
      </c>
      <c r="K305" s="290"/>
      <c r="L305" s="290">
        <f t="shared" si="100"/>
        <v>6000</v>
      </c>
      <c r="M305" s="354">
        <f t="shared" si="112"/>
        <v>1</v>
      </c>
      <c r="N305" s="353"/>
      <c r="O305" s="431">
        <v>6000</v>
      </c>
      <c r="P305" s="119"/>
      <c r="Q305" s="119"/>
      <c r="R305" s="119"/>
      <c r="S305" s="119"/>
      <c r="T305" s="119"/>
      <c r="U305" s="119"/>
      <c r="V305" s="119"/>
      <c r="W305" s="356"/>
      <c r="X305" s="290">
        <v>6000</v>
      </c>
      <c r="Y305" s="119"/>
      <c r="Z305" s="119"/>
      <c r="AA305" s="119"/>
      <c r="AB305" s="119"/>
      <c r="AC305" s="119"/>
      <c r="AD305" s="119"/>
      <c r="AE305" s="119"/>
      <c r="AF305" s="356"/>
    </row>
    <row r="306" spans="1:103" outlineLevel="1" x14ac:dyDescent="0.25">
      <c r="A306" s="352" t="s">
        <v>825</v>
      </c>
      <c r="B306" s="475" t="s">
        <v>946</v>
      </c>
      <c r="C306" s="431">
        <v>6590.9</v>
      </c>
      <c r="D306" s="119">
        <v>5500</v>
      </c>
      <c r="E306" s="110">
        <v>5278.86</v>
      </c>
      <c r="F306" s="119">
        <f>+L306</f>
        <v>6000</v>
      </c>
      <c r="G306" s="294">
        <f t="shared" si="118"/>
        <v>0.91666666666666663</v>
      </c>
      <c r="H306" s="490">
        <f t="shared" si="119"/>
        <v>0.91034608323597688</v>
      </c>
      <c r="I306" s="290"/>
      <c r="J306" s="119">
        <f t="shared" si="123"/>
        <v>5784.32</v>
      </c>
      <c r="K306" s="290"/>
      <c r="L306" s="290">
        <f t="shared" si="100"/>
        <v>6000</v>
      </c>
      <c r="M306" s="354">
        <f t="shared" si="112"/>
        <v>0.96405333333333332</v>
      </c>
      <c r="N306" s="353"/>
      <c r="O306" s="431"/>
      <c r="P306" s="119"/>
      <c r="Q306" s="119"/>
      <c r="R306" s="119">
        <v>500</v>
      </c>
      <c r="S306" s="119"/>
      <c r="T306" s="119"/>
      <c r="U306" s="119"/>
      <c r="V306" s="119">
        <f>5500-50300+50084.32</f>
        <v>5284.32</v>
      </c>
      <c r="W306" s="356"/>
      <c r="X306" s="290"/>
      <c r="Y306" s="119"/>
      <c r="Z306" s="119"/>
      <c r="AA306" s="119">
        <v>500</v>
      </c>
      <c r="AB306" s="119"/>
      <c r="AC306" s="119"/>
      <c r="AD306" s="119"/>
      <c r="AE306" s="119">
        <v>5500</v>
      </c>
      <c r="AF306" s="356"/>
    </row>
    <row r="307" spans="1:103" outlineLevel="1" x14ac:dyDescent="0.25">
      <c r="A307" s="352" t="s">
        <v>826</v>
      </c>
      <c r="B307" s="475" t="s">
        <v>944</v>
      </c>
      <c r="C307" s="431">
        <v>204.47</v>
      </c>
      <c r="D307" s="119">
        <v>4000</v>
      </c>
      <c r="E307" s="110">
        <v>3674.84</v>
      </c>
      <c r="F307" s="119">
        <v>5000</v>
      </c>
      <c r="G307" s="294">
        <f t="shared" si="118"/>
        <v>0.8</v>
      </c>
      <c r="H307" s="490">
        <f t="shared" si="119"/>
        <v>24.453465055998436</v>
      </c>
      <c r="I307" s="290"/>
      <c r="J307" s="119">
        <f t="shared" si="123"/>
        <v>5000</v>
      </c>
      <c r="K307" s="290"/>
      <c r="L307" s="290">
        <f t="shared" si="100"/>
        <v>5000</v>
      </c>
      <c r="M307" s="354">
        <f t="shared" si="112"/>
        <v>1</v>
      </c>
      <c r="N307" s="353"/>
      <c r="O307" s="431"/>
      <c r="P307" s="119"/>
      <c r="Q307" s="119"/>
      <c r="R307" s="119">
        <f>+AA307</f>
        <v>5000</v>
      </c>
      <c r="S307" s="119"/>
      <c r="T307" s="119"/>
      <c r="U307" s="119"/>
      <c r="V307" s="119"/>
      <c r="W307" s="356"/>
      <c r="X307" s="290"/>
      <c r="Y307" s="119"/>
      <c r="Z307" s="119"/>
      <c r="AA307" s="119">
        <v>5000</v>
      </c>
      <c r="AB307" s="119"/>
      <c r="AC307" s="119"/>
      <c r="AD307" s="119"/>
      <c r="AE307" s="119"/>
      <c r="AF307" s="356"/>
    </row>
    <row r="308" spans="1:103" outlineLevel="1" x14ac:dyDescent="0.25">
      <c r="A308" s="352" t="s">
        <v>827</v>
      </c>
      <c r="B308" s="475" t="s">
        <v>947</v>
      </c>
      <c r="C308" s="431">
        <v>52049.07</v>
      </c>
      <c r="D308" s="119">
        <v>22000</v>
      </c>
      <c r="E308" s="110">
        <v>27377.01</v>
      </c>
      <c r="F308" s="119">
        <v>15000</v>
      </c>
      <c r="G308" s="294">
        <f t="shared" si="118"/>
        <v>1.4666666666666666</v>
      </c>
      <c r="H308" s="490">
        <f t="shared" si="119"/>
        <v>0.28818958724910937</v>
      </c>
      <c r="I308" s="290"/>
      <c r="J308" s="119">
        <f t="shared" si="123"/>
        <v>14040</v>
      </c>
      <c r="K308" s="290"/>
      <c r="L308" s="290">
        <f t="shared" si="100"/>
        <v>13000</v>
      </c>
      <c r="M308" s="354">
        <f t="shared" si="112"/>
        <v>1.08</v>
      </c>
      <c r="N308" s="353"/>
      <c r="O308" s="431">
        <v>4040</v>
      </c>
      <c r="P308" s="119"/>
      <c r="Q308" s="119"/>
      <c r="R308" s="119">
        <f t="shared" ref="R308:R314" si="126">+AA308</f>
        <v>5000</v>
      </c>
      <c r="S308" s="119"/>
      <c r="T308" s="119"/>
      <c r="U308" s="119"/>
      <c r="V308" s="119">
        <v>5000</v>
      </c>
      <c r="W308" s="356"/>
      <c r="X308" s="290">
        <v>3000</v>
      </c>
      <c r="Y308" s="119"/>
      <c r="Z308" s="119"/>
      <c r="AA308" s="119">
        <v>5000</v>
      </c>
      <c r="AB308" s="119"/>
      <c r="AC308" s="119"/>
      <c r="AD308" s="119"/>
      <c r="AE308" s="119">
        <v>5000</v>
      </c>
      <c r="AF308" s="356"/>
    </row>
    <row r="309" spans="1:103" outlineLevel="1" x14ac:dyDescent="0.25">
      <c r="A309" s="352" t="s">
        <v>828</v>
      </c>
      <c r="B309" s="475" t="s">
        <v>948</v>
      </c>
      <c r="C309" s="431">
        <v>8815.15</v>
      </c>
      <c r="D309" s="119">
        <f t="shared" si="125"/>
        <v>8728</v>
      </c>
      <c r="E309" s="110">
        <v>8691.16</v>
      </c>
      <c r="F309" s="119">
        <v>8800</v>
      </c>
      <c r="G309" s="294">
        <f t="shared" si="118"/>
        <v>0.99181818181818182</v>
      </c>
      <c r="H309" s="490">
        <f t="shared" si="119"/>
        <v>0.99828136787235611</v>
      </c>
      <c r="I309" s="290"/>
      <c r="J309" s="119">
        <f t="shared" si="123"/>
        <v>8728</v>
      </c>
      <c r="K309" s="290"/>
      <c r="L309" s="290">
        <f t="shared" si="100"/>
        <v>8728</v>
      </c>
      <c r="M309" s="354">
        <f t="shared" si="112"/>
        <v>1</v>
      </c>
      <c r="N309" s="353"/>
      <c r="O309" s="431">
        <v>928</v>
      </c>
      <c r="P309" s="119"/>
      <c r="Q309" s="119"/>
      <c r="R309" s="119">
        <f t="shared" si="126"/>
        <v>0</v>
      </c>
      <c r="S309" s="119"/>
      <c r="T309" s="119"/>
      <c r="U309" s="119"/>
      <c r="V309" s="119">
        <f>+AE309</f>
        <v>7800</v>
      </c>
      <c r="W309" s="356"/>
      <c r="X309" s="290">
        <v>928</v>
      </c>
      <c r="Y309" s="119"/>
      <c r="Z309" s="119"/>
      <c r="AA309" s="119"/>
      <c r="AB309" s="119"/>
      <c r="AC309" s="119"/>
      <c r="AD309" s="119"/>
      <c r="AE309" s="119">
        <v>7800</v>
      </c>
      <c r="AF309" s="356"/>
    </row>
    <row r="310" spans="1:103" outlineLevel="1" x14ac:dyDescent="0.25">
      <c r="A310" s="352" t="s">
        <v>829</v>
      </c>
      <c r="B310" s="475" t="s">
        <v>945</v>
      </c>
      <c r="C310" s="431">
        <v>1738.21</v>
      </c>
      <c r="D310" s="119">
        <f t="shared" si="125"/>
        <v>2000</v>
      </c>
      <c r="E310" s="110">
        <v>1905.81</v>
      </c>
      <c r="F310" s="119">
        <f>+L310</f>
        <v>2000</v>
      </c>
      <c r="G310" s="294">
        <f t="shared" si="118"/>
        <v>1</v>
      </c>
      <c r="H310" s="490">
        <f t="shared" si="119"/>
        <v>1.15060895979197</v>
      </c>
      <c r="I310" s="290"/>
      <c r="J310" s="119">
        <f t="shared" si="123"/>
        <v>2000</v>
      </c>
      <c r="K310" s="290"/>
      <c r="L310" s="290">
        <f t="shared" ref="L310:L374" si="127">+X310+Y310+Z310+AA310+AB310+AC310+AD310+AE310+AF310</f>
        <v>2000</v>
      </c>
      <c r="M310" s="354">
        <f t="shared" si="112"/>
        <v>1</v>
      </c>
      <c r="N310" s="353"/>
      <c r="O310" s="431">
        <v>2000</v>
      </c>
      <c r="P310" s="119"/>
      <c r="Q310" s="119"/>
      <c r="R310" s="119">
        <f t="shared" si="126"/>
        <v>0</v>
      </c>
      <c r="S310" s="119"/>
      <c r="T310" s="119"/>
      <c r="U310" s="119"/>
      <c r="V310" s="119"/>
      <c r="W310" s="356"/>
      <c r="X310" s="290">
        <v>2000</v>
      </c>
      <c r="Y310" s="119"/>
      <c r="Z310" s="119"/>
      <c r="AA310" s="119"/>
      <c r="AB310" s="119"/>
      <c r="AC310" s="119"/>
      <c r="AD310" s="119"/>
      <c r="AE310" s="355"/>
      <c r="AF310" s="356"/>
    </row>
    <row r="311" spans="1:103" outlineLevel="1" x14ac:dyDescent="0.25">
      <c r="A311" s="352" t="s">
        <v>830</v>
      </c>
      <c r="B311" s="475" t="s">
        <v>949</v>
      </c>
      <c r="C311" s="431">
        <v>279.94</v>
      </c>
      <c r="D311" s="119">
        <f t="shared" si="125"/>
        <v>300</v>
      </c>
      <c r="E311" s="110"/>
      <c r="F311" s="119">
        <f>+L311</f>
        <v>300</v>
      </c>
      <c r="G311" s="294">
        <f t="shared" si="118"/>
        <v>1</v>
      </c>
      <c r="H311" s="490">
        <f t="shared" si="119"/>
        <v>1.0716582124741016</v>
      </c>
      <c r="I311" s="290"/>
      <c r="J311" s="119">
        <f t="shared" si="123"/>
        <v>300</v>
      </c>
      <c r="K311" s="290"/>
      <c r="L311" s="290">
        <f t="shared" si="127"/>
        <v>300</v>
      </c>
      <c r="M311" s="354">
        <f t="shared" si="112"/>
        <v>1</v>
      </c>
      <c r="N311" s="353"/>
      <c r="O311" s="431"/>
      <c r="P311" s="119"/>
      <c r="Q311" s="119"/>
      <c r="R311" s="119">
        <f t="shared" si="126"/>
        <v>300</v>
      </c>
      <c r="S311" s="119"/>
      <c r="T311" s="119"/>
      <c r="U311" s="119"/>
      <c r="V311" s="119"/>
      <c r="W311" s="356"/>
      <c r="X311" s="290"/>
      <c r="Y311" s="119"/>
      <c r="Z311" s="119"/>
      <c r="AA311" s="119">
        <v>300</v>
      </c>
      <c r="AB311" s="119"/>
      <c r="AC311" s="119"/>
      <c r="AD311" s="119"/>
      <c r="AE311" s="355"/>
      <c r="AF311" s="356"/>
    </row>
    <row r="312" spans="1:103" outlineLevel="1" x14ac:dyDescent="0.25">
      <c r="A312" s="352" t="s">
        <v>831</v>
      </c>
      <c r="B312" s="475" t="s">
        <v>1166</v>
      </c>
      <c r="C312" s="431">
        <f>24321.62+4000</f>
        <v>28321.62</v>
      </c>
      <c r="D312" s="119">
        <v>20000</v>
      </c>
      <c r="E312" s="110">
        <v>21563.75</v>
      </c>
      <c r="F312" s="119">
        <v>18000</v>
      </c>
      <c r="G312" s="294">
        <f t="shared" si="118"/>
        <v>1.1111111111111112</v>
      </c>
      <c r="H312" s="490">
        <f t="shared" si="119"/>
        <v>0.63555686433191327</v>
      </c>
      <c r="I312" s="290"/>
      <c r="J312" s="119">
        <f t="shared" si="123"/>
        <v>17486</v>
      </c>
      <c r="K312" s="290"/>
      <c r="L312" s="290">
        <f t="shared" si="127"/>
        <v>17486</v>
      </c>
      <c r="M312" s="354">
        <f t="shared" si="112"/>
        <v>1</v>
      </c>
      <c r="N312" s="353"/>
      <c r="O312" s="431">
        <v>3486</v>
      </c>
      <c r="P312" s="119"/>
      <c r="Q312" s="119"/>
      <c r="R312" s="119">
        <f t="shared" si="126"/>
        <v>5000</v>
      </c>
      <c r="S312" s="119"/>
      <c r="T312" s="119"/>
      <c r="U312" s="119"/>
      <c r="V312" s="119">
        <f>+AE312</f>
        <v>9000</v>
      </c>
      <c r="W312" s="356"/>
      <c r="X312" s="290">
        <v>3486</v>
      </c>
      <c r="Y312" s="119"/>
      <c r="Z312" s="119"/>
      <c r="AA312" s="119">
        <v>5000</v>
      </c>
      <c r="AB312" s="119"/>
      <c r="AC312" s="119"/>
      <c r="AD312" s="119"/>
      <c r="AE312" s="355">
        <v>9000</v>
      </c>
      <c r="AF312" s="356"/>
    </row>
    <row r="313" spans="1:103" outlineLevel="1" x14ac:dyDescent="0.25">
      <c r="A313" s="352" t="s">
        <v>1310</v>
      </c>
      <c r="B313" s="475" t="s">
        <v>1333</v>
      </c>
      <c r="C313" s="431"/>
      <c r="D313" s="119">
        <v>1000</v>
      </c>
      <c r="E313" s="110">
        <v>488.06</v>
      </c>
      <c r="F313" s="119">
        <v>1950</v>
      </c>
      <c r="G313" s="294">
        <f t="shared" si="118"/>
        <v>0.51282051282051277</v>
      </c>
      <c r="H313" s="490"/>
      <c r="I313" s="290"/>
      <c r="J313" s="119">
        <f t="shared" si="123"/>
        <v>1950</v>
      </c>
      <c r="K313" s="290"/>
      <c r="L313" s="290">
        <f t="shared" si="127"/>
        <v>1950</v>
      </c>
      <c r="M313" s="354">
        <f t="shared" si="112"/>
        <v>1</v>
      </c>
      <c r="N313" s="353"/>
      <c r="O313" s="431"/>
      <c r="P313" s="119"/>
      <c r="Q313" s="119"/>
      <c r="R313" s="119">
        <f t="shared" si="126"/>
        <v>1950</v>
      </c>
      <c r="S313" s="119"/>
      <c r="T313" s="119"/>
      <c r="U313" s="119"/>
      <c r="V313" s="119"/>
      <c r="W313" s="356"/>
      <c r="X313" s="290"/>
      <c r="Y313" s="119"/>
      <c r="Z313" s="119"/>
      <c r="AA313" s="119">
        <v>1950</v>
      </c>
      <c r="AB313" s="119"/>
      <c r="AC313" s="119"/>
      <c r="AD313" s="119"/>
      <c r="AE313" s="355"/>
      <c r="AF313" s="356"/>
    </row>
    <row r="314" spans="1:103" outlineLevel="1" x14ac:dyDescent="0.25">
      <c r="A314" s="352" t="s">
        <v>1089</v>
      </c>
      <c r="B314" s="475" t="s">
        <v>47</v>
      </c>
      <c r="C314" s="431">
        <v>8877.23</v>
      </c>
      <c r="D314" s="119">
        <v>2500</v>
      </c>
      <c r="E314" s="110">
        <v>2721.49</v>
      </c>
      <c r="F314" s="119">
        <v>3500</v>
      </c>
      <c r="G314" s="294">
        <f t="shared" si="118"/>
        <v>0.7142857142857143</v>
      </c>
      <c r="H314" s="490">
        <f>+F314/C314</f>
        <v>0.3942671306252063</v>
      </c>
      <c r="I314" s="290"/>
      <c r="J314" s="119">
        <f t="shared" si="123"/>
        <v>0</v>
      </c>
      <c r="K314" s="290"/>
      <c r="L314" s="290">
        <f t="shared" si="127"/>
        <v>0</v>
      </c>
      <c r="M314" s="354"/>
      <c r="N314" s="353"/>
      <c r="O314" s="431"/>
      <c r="P314" s="119"/>
      <c r="Q314" s="119"/>
      <c r="R314" s="119">
        <f t="shared" si="126"/>
        <v>0</v>
      </c>
      <c r="S314" s="119"/>
      <c r="T314" s="119"/>
      <c r="U314" s="119"/>
      <c r="V314" s="119"/>
      <c r="W314" s="356"/>
      <c r="X314" s="290"/>
      <c r="Y314" s="119"/>
      <c r="Z314" s="119"/>
      <c r="AA314" s="119"/>
      <c r="AB314" s="119"/>
      <c r="AC314" s="119"/>
      <c r="AD314" s="119"/>
      <c r="AE314" s="355"/>
      <c r="AF314" s="356"/>
    </row>
    <row r="315" spans="1:103" s="351" customFormat="1" ht="15.75" x14ac:dyDescent="0.25">
      <c r="A315" s="345" t="s">
        <v>235</v>
      </c>
      <c r="B315" s="474" t="s">
        <v>710</v>
      </c>
      <c r="C315" s="430">
        <f>+C316+C317</f>
        <v>0</v>
      </c>
      <c r="D315" s="455">
        <f>+D316+D317</f>
        <v>0</v>
      </c>
      <c r="E315" s="274">
        <f>+E316+E317</f>
        <v>0</v>
      </c>
      <c r="F315" s="455">
        <f>+F316+F317</f>
        <v>0</v>
      </c>
      <c r="G315" s="292"/>
      <c r="H315" s="489"/>
      <c r="I315" s="349"/>
      <c r="J315" s="347">
        <f>+J316+J317</f>
        <v>0</v>
      </c>
      <c r="K315" s="291"/>
      <c r="L315" s="291">
        <f t="shared" si="127"/>
        <v>0</v>
      </c>
      <c r="M315" s="348"/>
      <c r="N315" s="392"/>
      <c r="O315" s="430">
        <f>+O316+O317</f>
        <v>0</v>
      </c>
      <c r="P315" s="455">
        <f t="shared" ref="P315:AF315" si="128">SUM(P316:P317)</f>
        <v>0</v>
      </c>
      <c r="Q315" s="455">
        <f t="shared" si="128"/>
        <v>0</v>
      </c>
      <c r="R315" s="455">
        <f t="shared" si="128"/>
        <v>0</v>
      </c>
      <c r="S315" s="455">
        <f t="shared" si="128"/>
        <v>0</v>
      </c>
      <c r="T315" s="455">
        <f t="shared" si="128"/>
        <v>0</v>
      </c>
      <c r="U315" s="455">
        <f t="shared" si="128"/>
        <v>0</v>
      </c>
      <c r="V315" s="455">
        <f t="shared" si="128"/>
        <v>0</v>
      </c>
      <c r="W315" s="350">
        <f t="shared" si="128"/>
        <v>0</v>
      </c>
      <c r="X315" s="349">
        <f t="shared" si="128"/>
        <v>0</v>
      </c>
      <c r="Y315" s="455">
        <f t="shared" si="128"/>
        <v>0</v>
      </c>
      <c r="Z315" s="455">
        <f t="shared" si="128"/>
        <v>0</v>
      </c>
      <c r="AA315" s="455">
        <f t="shared" si="128"/>
        <v>0</v>
      </c>
      <c r="AB315" s="455">
        <f t="shared" si="128"/>
        <v>0</v>
      </c>
      <c r="AC315" s="455">
        <f t="shared" si="128"/>
        <v>0</v>
      </c>
      <c r="AD315" s="455">
        <f t="shared" si="128"/>
        <v>0</v>
      </c>
      <c r="AE315" s="455">
        <f t="shared" si="128"/>
        <v>0</v>
      </c>
      <c r="AF315" s="350">
        <f t="shared" si="128"/>
        <v>0</v>
      </c>
      <c r="AG315" s="293"/>
      <c r="AH315" s="293"/>
      <c r="AI315" s="293"/>
      <c r="AJ315" s="293"/>
      <c r="AK315" s="293"/>
      <c r="AL315" s="293"/>
      <c r="AM315" s="293"/>
      <c r="AN315" s="293"/>
      <c r="AO315" s="293"/>
      <c r="AP315" s="293"/>
      <c r="AQ315" s="293"/>
      <c r="AR315" s="293"/>
      <c r="AS315" s="293"/>
      <c r="AT315" s="293"/>
      <c r="AU315" s="293"/>
      <c r="AV315" s="293"/>
      <c r="AW315" s="293"/>
      <c r="AX315" s="293"/>
      <c r="AY315" s="293"/>
      <c r="AZ315" s="293"/>
      <c r="BA315" s="293"/>
      <c r="BB315" s="293"/>
      <c r="BC315" s="293"/>
      <c r="BD315" s="293"/>
      <c r="BE315" s="293"/>
      <c r="BF315" s="293"/>
      <c r="BG315" s="293"/>
      <c r="BH315" s="293"/>
      <c r="BI315" s="293"/>
      <c r="BJ315" s="293"/>
      <c r="BK315" s="293"/>
      <c r="BL315" s="293"/>
      <c r="BM315" s="293"/>
      <c r="BN315" s="293"/>
      <c r="BO315" s="293"/>
      <c r="BP315" s="293"/>
      <c r="BQ315" s="293"/>
      <c r="BR315" s="293"/>
      <c r="BS315" s="293"/>
      <c r="BT315" s="293"/>
      <c r="BU315" s="293"/>
      <c r="BV315" s="293"/>
      <c r="BW315" s="293"/>
      <c r="BX315" s="293"/>
      <c r="BY315" s="293"/>
      <c r="BZ315" s="293"/>
      <c r="CA315" s="293"/>
      <c r="CB315" s="293"/>
      <c r="CC315" s="293"/>
      <c r="CD315" s="293"/>
      <c r="CE315" s="293"/>
      <c r="CF315" s="293"/>
      <c r="CG315" s="293"/>
      <c r="CH315" s="293"/>
      <c r="CI315" s="293"/>
      <c r="CJ315" s="293"/>
      <c r="CK315" s="293"/>
      <c r="CL315" s="293"/>
      <c r="CM315" s="293"/>
      <c r="CN315" s="293"/>
      <c r="CO315" s="293"/>
      <c r="CP315" s="293"/>
      <c r="CQ315" s="293"/>
      <c r="CR315" s="293"/>
      <c r="CS315" s="293"/>
      <c r="CT315" s="293"/>
      <c r="CU315" s="293"/>
      <c r="CV315" s="293"/>
      <c r="CW315" s="293"/>
      <c r="CX315" s="293"/>
      <c r="CY315" s="293"/>
    </row>
    <row r="316" spans="1:103" outlineLevel="1" x14ac:dyDescent="0.25">
      <c r="A316" s="352" t="s">
        <v>832</v>
      </c>
      <c r="B316" s="478" t="s">
        <v>1379</v>
      </c>
      <c r="C316" s="431"/>
      <c r="D316" s="119"/>
      <c r="E316" s="110"/>
      <c r="F316" s="119"/>
      <c r="G316" s="294"/>
      <c r="H316" s="490"/>
      <c r="I316" s="290"/>
      <c r="J316" s="119"/>
      <c r="K316" s="290"/>
      <c r="L316" s="290">
        <f t="shared" si="127"/>
        <v>0</v>
      </c>
      <c r="M316" s="354"/>
      <c r="N316" s="353"/>
      <c r="O316" s="431"/>
      <c r="P316" s="119"/>
      <c r="Q316" s="119"/>
      <c r="R316" s="119"/>
      <c r="S316" s="119"/>
      <c r="T316" s="119"/>
      <c r="U316" s="119"/>
      <c r="V316" s="119"/>
      <c r="W316" s="356"/>
      <c r="X316" s="290"/>
      <c r="Y316" s="119"/>
      <c r="Z316" s="119"/>
      <c r="AA316" s="119"/>
      <c r="AB316" s="119"/>
      <c r="AC316" s="119"/>
      <c r="AD316" s="119"/>
      <c r="AE316" s="355"/>
      <c r="AF316" s="356"/>
    </row>
    <row r="317" spans="1:103" outlineLevel="1" x14ac:dyDescent="0.25">
      <c r="A317" s="352" t="s">
        <v>833</v>
      </c>
      <c r="B317" s="475"/>
      <c r="C317" s="431"/>
      <c r="D317" s="119"/>
      <c r="E317" s="110"/>
      <c r="F317" s="119"/>
      <c r="G317" s="294"/>
      <c r="H317" s="490"/>
      <c r="I317" s="290"/>
      <c r="J317" s="119"/>
      <c r="K317" s="290"/>
      <c r="L317" s="290">
        <f t="shared" si="127"/>
        <v>0</v>
      </c>
      <c r="M317" s="354"/>
      <c r="N317" s="353"/>
      <c r="O317" s="431"/>
      <c r="P317" s="119"/>
      <c r="Q317" s="119"/>
      <c r="R317" s="119"/>
      <c r="S317" s="119"/>
      <c r="T317" s="119"/>
      <c r="U317" s="119"/>
      <c r="V317" s="119"/>
      <c r="W317" s="356"/>
      <c r="X317" s="290"/>
      <c r="Y317" s="119"/>
      <c r="Z317" s="119"/>
      <c r="AA317" s="119"/>
      <c r="AB317" s="119"/>
      <c r="AC317" s="119"/>
      <c r="AD317" s="119"/>
      <c r="AE317" s="355"/>
      <c r="AF317" s="356"/>
    </row>
    <row r="318" spans="1:103" s="351" customFormat="1" ht="15.75" x14ac:dyDescent="0.25">
      <c r="A318" s="345" t="s">
        <v>711</v>
      </c>
      <c r="B318" s="474" t="s">
        <v>337</v>
      </c>
      <c r="C318" s="430">
        <f>+C319+C320</f>
        <v>25800.18</v>
      </c>
      <c r="D318" s="455">
        <f>+D319+D320</f>
        <v>23534.95</v>
      </c>
      <c r="E318" s="274">
        <f>+E319+E320</f>
        <v>16711.7</v>
      </c>
      <c r="F318" s="455">
        <f>+F319+F320</f>
        <v>24945</v>
      </c>
      <c r="G318" s="292">
        <f t="shared" si="118"/>
        <v>0.94347364201242734</v>
      </c>
      <c r="H318" s="489">
        <f>+F318/C318</f>
        <v>0.96685371962521194</v>
      </c>
      <c r="I318" s="349"/>
      <c r="J318" s="347">
        <f>+J319</f>
        <v>16000</v>
      </c>
      <c r="K318" s="291"/>
      <c r="L318" s="291">
        <f t="shared" si="127"/>
        <v>16000</v>
      </c>
      <c r="M318" s="348">
        <f>+J318/L318</f>
        <v>1</v>
      </c>
      <c r="N318" s="392"/>
      <c r="O318" s="430">
        <f>+O319+O320</f>
        <v>0</v>
      </c>
      <c r="P318" s="455">
        <f t="shared" ref="P318:AF318" si="129">SUM(P319:P320)</f>
        <v>0</v>
      </c>
      <c r="Q318" s="455">
        <f t="shared" si="129"/>
        <v>0</v>
      </c>
      <c r="R318" s="455">
        <f t="shared" si="129"/>
        <v>0</v>
      </c>
      <c r="S318" s="455">
        <f t="shared" si="129"/>
        <v>0</v>
      </c>
      <c r="T318" s="455">
        <f t="shared" si="129"/>
        <v>0</v>
      </c>
      <c r="U318" s="455">
        <f t="shared" si="129"/>
        <v>0</v>
      </c>
      <c r="V318" s="455">
        <f t="shared" si="129"/>
        <v>16000</v>
      </c>
      <c r="W318" s="350">
        <f t="shared" si="129"/>
        <v>0</v>
      </c>
      <c r="X318" s="349">
        <f t="shared" si="129"/>
        <v>0</v>
      </c>
      <c r="Y318" s="455">
        <f t="shared" si="129"/>
        <v>0</v>
      </c>
      <c r="Z318" s="455">
        <f t="shared" si="129"/>
        <v>0</v>
      </c>
      <c r="AA318" s="455">
        <f t="shared" si="129"/>
        <v>0</v>
      </c>
      <c r="AB318" s="455">
        <f t="shared" si="129"/>
        <v>0</v>
      </c>
      <c r="AC318" s="455">
        <f t="shared" si="129"/>
        <v>0</v>
      </c>
      <c r="AD318" s="455">
        <f t="shared" si="129"/>
        <v>0</v>
      </c>
      <c r="AE318" s="455">
        <f t="shared" si="129"/>
        <v>16000</v>
      </c>
      <c r="AF318" s="350">
        <f t="shared" si="129"/>
        <v>0</v>
      </c>
      <c r="AG318" s="293"/>
      <c r="AH318" s="293"/>
      <c r="AI318" s="293"/>
      <c r="AJ318" s="293"/>
      <c r="AK318" s="293"/>
      <c r="AL318" s="293"/>
      <c r="AM318" s="293"/>
      <c r="AN318" s="293"/>
      <c r="AO318" s="293"/>
      <c r="AP318" s="293"/>
      <c r="AQ318" s="293"/>
      <c r="AR318" s="293"/>
      <c r="AS318" s="293"/>
      <c r="AT318" s="293"/>
      <c r="AU318" s="293"/>
      <c r="AV318" s="293"/>
      <c r="AW318" s="293"/>
      <c r="AX318" s="293"/>
      <c r="AY318" s="293"/>
      <c r="AZ318" s="293"/>
      <c r="BA318" s="293"/>
      <c r="BB318" s="293"/>
      <c r="BC318" s="293"/>
      <c r="BD318" s="293"/>
      <c r="BE318" s="293"/>
      <c r="BF318" s="293"/>
      <c r="BG318" s="293"/>
      <c r="BH318" s="293"/>
      <c r="BI318" s="293"/>
      <c r="BJ318" s="293"/>
      <c r="BK318" s="293"/>
      <c r="BL318" s="293"/>
      <c r="BM318" s="293"/>
      <c r="BN318" s="293"/>
      <c r="BO318" s="293"/>
      <c r="BP318" s="293"/>
      <c r="BQ318" s="293"/>
      <c r="BR318" s="293"/>
      <c r="BS318" s="293"/>
      <c r="BT318" s="293"/>
      <c r="BU318" s="293"/>
      <c r="BV318" s="293"/>
      <c r="BW318" s="293"/>
      <c r="BX318" s="293"/>
      <c r="BY318" s="293"/>
      <c r="BZ318" s="293"/>
      <c r="CA318" s="293"/>
      <c r="CB318" s="293"/>
      <c r="CC318" s="293"/>
      <c r="CD318" s="293"/>
      <c r="CE318" s="293"/>
      <c r="CF318" s="293"/>
      <c r="CG318" s="293"/>
      <c r="CH318" s="293"/>
      <c r="CI318" s="293"/>
      <c r="CJ318" s="293"/>
      <c r="CK318" s="293"/>
      <c r="CL318" s="293"/>
      <c r="CM318" s="293"/>
      <c r="CN318" s="293"/>
      <c r="CO318" s="293"/>
      <c r="CP318" s="293"/>
      <c r="CQ318" s="293"/>
      <c r="CR318" s="293"/>
      <c r="CS318" s="293"/>
      <c r="CT318" s="293"/>
      <c r="CU318" s="293"/>
      <c r="CV318" s="293"/>
      <c r="CW318" s="293"/>
      <c r="CX318" s="293"/>
      <c r="CY318" s="293"/>
    </row>
    <row r="319" spans="1:103" outlineLevel="1" x14ac:dyDescent="0.25">
      <c r="A319" s="352" t="s">
        <v>834</v>
      </c>
      <c r="B319" s="475" t="s">
        <v>337</v>
      </c>
      <c r="C319" s="431">
        <f>25816.94-16.76</f>
        <v>25800.18</v>
      </c>
      <c r="D319" s="119">
        <f>15359.58+12830.37-4655</f>
        <v>23534.95</v>
      </c>
      <c r="E319" s="110">
        <f>16659.52+52.18</f>
        <v>16711.7</v>
      </c>
      <c r="F319" s="119">
        <f>20000+4945</f>
        <v>24945</v>
      </c>
      <c r="G319" s="294">
        <f t="shared" si="118"/>
        <v>0.94347364201242734</v>
      </c>
      <c r="H319" s="490">
        <f>+F319/C319</f>
        <v>0.96685371962521194</v>
      </c>
      <c r="I319" s="290"/>
      <c r="J319" s="119">
        <f t="shared" si="123"/>
        <v>16000</v>
      </c>
      <c r="K319" s="290"/>
      <c r="L319" s="290">
        <f t="shared" si="127"/>
        <v>16000</v>
      </c>
      <c r="M319" s="354">
        <f>+J319/L319</f>
        <v>1</v>
      </c>
      <c r="N319" s="353"/>
      <c r="O319" s="431"/>
      <c r="P319" s="119"/>
      <c r="Q319" s="119"/>
      <c r="R319" s="119"/>
      <c r="S319" s="119"/>
      <c r="T319" s="119"/>
      <c r="U319" s="119"/>
      <c r="V319" s="119">
        <v>16000</v>
      </c>
      <c r="W319" s="356"/>
      <c r="X319" s="290"/>
      <c r="Y319" s="119"/>
      <c r="Z319" s="119"/>
      <c r="AA319" s="119"/>
      <c r="AB319" s="119"/>
      <c r="AC319" s="119"/>
      <c r="AD319" s="119"/>
      <c r="AE319" s="355">
        <v>16000</v>
      </c>
      <c r="AF319" s="356"/>
    </row>
    <row r="320" spans="1:103" outlineLevel="1" x14ac:dyDescent="0.25">
      <c r="A320" s="352" t="s">
        <v>835</v>
      </c>
      <c r="B320" s="475"/>
      <c r="C320" s="431"/>
      <c r="D320" s="119"/>
      <c r="E320" s="110"/>
      <c r="F320" s="119"/>
      <c r="G320" s="294"/>
      <c r="H320" s="490"/>
      <c r="I320" s="290"/>
      <c r="J320" s="119"/>
      <c r="K320" s="290"/>
      <c r="L320" s="290"/>
      <c r="M320" s="354"/>
      <c r="N320" s="353"/>
      <c r="O320" s="431"/>
      <c r="P320" s="119"/>
      <c r="Q320" s="119"/>
      <c r="R320" s="119"/>
      <c r="S320" s="119"/>
      <c r="T320" s="119"/>
      <c r="U320" s="119"/>
      <c r="V320" s="119"/>
      <c r="W320" s="356"/>
      <c r="X320" s="290"/>
      <c r="Y320" s="119"/>
      <c r="Z320" s="119"/>
      <c r="AA320" s="119"/>
      <c r="AB320" s="119"/>
      <c r="AC320" s="119"/>
      <c r="AD320" s="119"/>
      <c r="AE320" s="355"/>
      <c r="AF320" s="356"/>
    </row>
    <row r="321" spans="1:103" s="344" customFormat="1" ht="21" x14ac:dyDescent="0.35">
      <c r="A321" s="338" t="s">
        <v>236</v>
      </c>
      <c r="B321" s="473" t="s">
        <v>338</v>
      </c>
      <c r="C321" s="429">
        <f>+C322+C324+C326</f>
        <v>309529.72000000003</v>
      </c>
      <c r="D321" s="339">
        <f>+D322+D324+D326+D333</f>
        <v>332319.99666666659</v>
      </c>
      <c r="E321" s="501">
        <f>+E322+E324+E326+E333</f>
        <v>310810.5</v>
      </c>
      <c r="F321" s="339">
        <f>+F322+F324+F326+F333</f>
        <v>327687</v>
      </c>
      <c r="G321" s="340">
        <f t="shared" si="118"/>
        <v>1.0141384817422314</v>
      </c>
      <c r="H321" s="488">
        <f t="shared" ref="H321:H332" si="130">+F321/C321</f>
        <v>1.0586608613867514</v>
      </c>
      <c r="I321" s="288">
        <v>302842</v>
      </c>
      <c r="J321" s="339">
        <f>+O321+P321+Q321+R321+S321+T321+U321+V321+W321</f>
        <v>315077.83999999997</v>
      </c>
      <c r="K321" s="288">
        <v>118834.46</v>
      </c>
      <c r="L321" s="288">
        <f t="shared" si="127"/>
        <v>322641</v>
      </c>
      <c r="M321" s="342">
        <f t="shared" ref="M321:M337" si="131">+J321/L321</f>
        <v>0.97655858988783184</v>
      </c>
      <c r="N321" s="341">
        <f>+L321/I321</f>
        <v>1.0653773254700472</v>
      </c>
      <c r="O321" s="429">
        <f t="shared" ref="O321:W321" si="132">O322+O324+O326+O333</f>
        <v>177417.56</v>
      </c>
      <c r="P321" s="339">
        <f t="shared" si="132"/>
        <v>0</v>
      </c>
      <c r="Q321" s="339">
        <f t="shared" si="132"/>
        <v>0</v>
      </c>
      <c r="R321" s="339">
        <f t="shared" si="132"/>
        <v>16733</v>
      </c>
      <c r="S321" s="339">
        <f t="shared" si="132"/>
        <v>0</v>
      </c>
      <c r="T321" s="339">
        <f t="shared" si="132"/>
        <v>0</v>
      </c>
      <c r="U321" s="339">
        <f t="shared" si="132"/>
        <v>0</v>
      </c>
      <c r="V321" s="339">
        <f t="shared" si="132"/>
        <v>115231.28</v>
      </c>
      <c r="W321" s="461">
        <f t="shared" si="132"/>
        <v>5696</v>
      </c>
      <c r="X321" s="288">
        <f>+X322+X324+X326+X333</f>
        <v>175661</v>
      </c>
      <c r="Y321" s="288">
        <f t="shared" ref="Y321:AF321" si="133">+Y322+Y324+Y326+Y333</f>
        <v>0</v>
      </c>
      <c r="Z321" s="288">
        <f t="shared" si="133"/>
        <v>0</v>
      </c>
      <c r="AA321" s="288">
        <f t="shared" si="133"/>
        <v>16733</v>
      </c>
      <c r="AB321" s="288">
        <f t="shared" si="133"/>
        <v>0</v>
      </c>
      <c r="AC321" s="288">
        <f t="shared" si="133"/>
        <v>0</v>
      </c>
      <c r="AD321" s="288">
        <f t="shared" si="133"/>
        <v>0</v>
      </c>
      <c r="AE321" s="288">
        <f t="shared" si="133"/>
        <v>119720</v>
      </c>
      <c r="AF321" s="289">
        <f t="shared" si="133"/>
        <v>10527</v>
      </c>
      <c r="AG321" s="343"/>
      <c r="AH321" s="343"/>
      <c r="AI321" s="343"/>
      <c r="AJ321" s="343"/>
      <c r="AK321" s="343"/>
      <c r="AL321" s="343"/>
      <c r="AM321" s="343"/>
      <c r="AN321" s="343"/>
      <c r="AO321" s="343"/>
      <c r="AP321" s="343"/>
      <c r="AQ321" s="343"/>
      <c r="AR321" s="343"/>
      <c r="AS321" s="343"/>
      <c r="AT321" s="343"/>
      <c r="AU321" s="343"/>
      <c r="AV321" s="343"/>
      <c r="AW321" s="343"/>
      <c r="AX321" s="343"/>
      <c r="AY321" s="343"/>
      <c r="AZ321" s="343"/>
      <c r="BA321" s="343"/>
      <c r="BB321" s="343"/>
      <c r="BC321" s="343"/>
      <c r="BD321" s="343"/>
      <c r="BE321" s="343"/>
      <c r="BF321" s="343"/>
      <c r="BG321" s="343"/>
      <c r="BH321" s="343"/>
      <c r="BI321" s="343"/>
      <c r="BJ321" s="343"/>
      <c r="BK321" s="343"/>
      <c r="BL321" s="343"/>
      <c r="BM321" s="343"/>
      <c r="BN321" s="343"/>
      <c r="BO321" s="343"/>
      <c r="BP321" s="343"/>
      <c r="BQ321" s="343"/>
      <c r="BR321" s="343"/>
      <c r="BS321" s="343"/>
      <c r="BT321" s="343"/>
      <c r="BU321" s="343"/>
      <c r="BV321" s="343"/>
      <c r="BW321" s="343"/>
      <c r="BX321" s="343"/>
      <c r="BY321" s="343"/>
      <c r="BZ321" s="343"/>
      <c r="CA321" s="343"/>
      <c r="CB321" s="343"/>
      <c r="CC321" s="343"/>
      <c r="CD321" s="343"/>
      <c r="CE321" s="343"/>
      <c r="CF321" s="343"/>
      <c r="CG321" s="343"/>
      <c r="CH321" s="343"/>
      <c r="CI321" s="343"/>
      <c r="CJ321" s="343"/>
      <c r="CK321" s="343"/>
      <c r="CL321" s="343"/>
      <c r="CM321" s="343"/>
      <c r="CN321" s="343"/>
      <c r="CO321" s="343"/>
      <c r="CP321" s="343"/>
      <c r="CQ321" s="343"/>
      <c r="CR321" s="343"/>
      <c r="CS321" s="343"/>
      <c r="CT321" s="343"/>
      <c r="CU321" s="343"/>
      <c r="CV321" s="343"/>
      <c r="CW321" s="343"/>
      <c r="CX321" s="343"/>
      <c r="CY321" s="343"/>
    </row>
    <row r="322" spans="1:103" s="351" customFormat="1" ht="15.75" x14ac:dyDescent="0.25">
      <c r="A322" s="345" t="s">
        <v>237</v>
      </c>
      <c r="B322" s="474" t="s">
        <v>339</v>
      </c>
      <c r="C322" s="430">
        <f>+C323</f>
        <v>229052.45</v>
      </c>
      <c r="D322" s="455">
        <f>+D323</f>
        <v>241021.78</v>
      </c>
      <c r="E322" s="274">
        <f>+E323</f>
        <v>229550.26</v>
      </c>
      <c r="F322" s="455">
        <f>+F323</f>
        <v>227990</v>
      </c>
      <c r="G322" s="292">
        <f t="shared" si="118"/>
        <v>1.0571594368174042</v>
      </c>
      <c r="H322" s="489">
        <f t="shared" si="130"/>
        <v>0.99536154273835531</v>
      </c>
      <c r="I322" s="349"/>
      <c r="J322" s="347">
        <f>+J323</f>
        <v>225327.84</v>
      </c>
      <c r="K322" s="291"/>
      <c r="L322" s="291">
        <f t="shared" si="127"/>
        <v>228509</v>
      </c>
      <c r="M322" s="348">
        <f t="shared" si="131"/>
        <v>0.9860786227238314</v>
      </c>
      <c r="N322" s="392"/>
      <c r="O322" s="430">
        <f>+O323</f>
        <v>93363.56</v>
      </c>
      <c r="P322" s="455">
        <f t="shared" ref="P322:AF322" si="134">SUM(P323:P323)</f>
        <v>0</v>
      </c>
      <c r="Q322" s="455">
        <f t="shared" si="134"/>
        <v>0</v>
      </c>
      <c r="R322" s="455">
        <f t="shared" si="134"/>
        <v>16733</v>
      </c>
      <c r="S322" s="455">
        <f t="shared" si="134"/>
        <v>0</v>
      </c>
      <c r="T322" s="455">
        <f t="shared" si="134"/>
        <v>0</v>
      </c>
      <c r="U322" s="455">
        <f t="shared" si="134"/>
        <v>0</v>
      </c>
      <c r="V322" s="455">
        <f t="shared" si="134"/>
        <v>115231.28</v>
      </c>
      <c r="W322" s="350">
        <f t="shared" si="134"/>
        <v>0</v>
      </c>
      <c r="X322" s="349">
        <f t="shared" si="134"/>
        <v>92056</v>
      </c>
      <c r="Y322" s="455">
        <f t="shared" si="134"/>
        <v>0</v>
      </c>
      <c r="Z322" s="455">
        <f t="shared" si="134"/>
        <v>0</v>
      </c>
      <c r="AA322" s="455">
        <f t="shared" si="134"/>
        <v>16733</v>
      </c>
      <c r="AB322" s="455">
        <f t="shared" si="134"/>
        <v>0</v>
      </c>
      <c r="AC322" s="455">
        <f t="shared" si="134"/>
        <v>0</v>
      </c>
      <c r="AD322" s="455">
        <f t="shared" si="134"/>
        <v>0</v>
      </c>
      <c r="AE322" s="455">
        <f t="shared" si="134"/>
        <v>119720</v>
      </c>
      <c r="AF322" s="350">
        <f t="shared" si="134"/>
        <v>0</v>
      </c>
      <c r="AG322" s="293"/>
      <c r="AH322" s="293"/>
      <c r="AI322" s="293"/>
      <c r="AJ322" s="293"/>
      <c r="AK322" s="293"/>
      <c r="AL322" s="293"/>
      <c r="AM322" s="293"/>
      <c r="AN322" s="293"/>
      <c r="AO322" s="293"/>
      <c r="AP322" s="293"/>
      <c r="AQ322" s="293"/>
      <c r="AR322" s="293"/>
      <c r="AS322" s="293"/>
      <c r="AT322" s="293"/>
      <c r="AU322" s="293"/>
      <c r="AV322" s="293"/>
      <c r="AW322" s="293"/>
      <c r="AX322" s="293"/>
      <c r="AY322" s="293"/>
      <c r="AZ322" s="293"/>
      <c r="BA322" s="293"/>
      <c r="BB322" s="293"/>
      <c r="BC322" s="293"/>
      <c r="BD322" s="293"/>
      <c r="BE322" s="293"/>
      <c r="BF322" s="293"/>
      <c r="BG322" s="293"/>
      <c r="BH322" s="293"/>
      <c r="BI322" s="293"/>
      <c r="BJ322" s="293"/>
      <c r="BK322" s="293"/>
      <c r="BL322" s="293"/>
      <c r="BM322" s="293"/>
      <c r="BN322" s="293"/>
      <c r="BO322" s="293"/>
      <c r="BP322" s="293"/>
      <c r="BQ322" s="293"/>
      <c r="BR322" s="293"/>
      <c r="BS322" s="293"/>
      <c r="BT322" s="293"/>
      <c r="BU322" s="293"/>
      <c r="BV322" s="293"/>
      <c r="BW322" s="293"/>
      <c r="BX322" s="293"/>
      <c r="BY322" s="293"/>
      <c r="BZ322" s="293"/>
      <c r="CA322" s="293"/>
      <c r="CB322" s="293"/>
      <c r="CC322" s="293"/>
      <c r="CD322" s="293"/>
      <c r="CE322" s="293"/>
      <c r="CF322" s="293"/>
      <c r="CG322" s="293"/>
      <c r="CH322" s="293"/>
      <c r="CI322" s="293"/>
      <c r="CJ322" s="293"/>
      <c r="CK322" s="293"/>
      <c r="CL322" s="293"/>
      <c r="CM322" s="293"/>
      <c r="CN322" s="293"/>
      <c r="CO322" s="293"/>
      <c r="CP322" s="293"/>
      <c r="CQ322" s="293"/>
      <c r="CR322" s="293"/>
      <c r="CS322" s="293"/>
      <c r="CT322" s="293"/>
      <c r="CU322" s="293"/>
      <c r="CV322" s="293"/>
      <c r="CW322" s="293"/>
      <c r="CX322" s="293"/>
      <c r="CY322" s="293"/>
    </row>
    <row r="323" spans="1:103" outlineLevel="1" x14ac:dyDescent="0.25">
      <c r="A323" s="352" t="s">
        <v>238</v>
      </c>
      <c r="B323" s="475" t="s">
        <v>339</v>
      </c>
      <c r="C323" s="431">
        <v>229052.45</v>
      </c>
      <c r="D323" s="119">
        <f>247563.55-6541.77</f>
        <v>241021.78</v>
      </c>
      <c r="E323" s="110">
        <v>229550.26</v>
      </c>
      <c r="F323" s="119">
        <f>232295-4305</f>
        <v>227990</v>
      </c>
      <c r="G323" s="294">
        <f t="shared" si="118"/>
        <v>1.0571594368174042</v>
      </c>
      <c r="H323" s="490">
        <f t="shared" si="130"/>
        <v>0.99536154273835531</v>
      </c>
      <c r="I323" s="290"/>
      <c r="J323" s="119">
        <f t="shared" ref="J323:J384" si="135">+O323+P323+Q323+R323+S323+T323+U323+V323+W323</f>
        <v>225327.84</v>
      </c>
      <c r="K323" s="290"/>
      <c r="L323" s="290">
        <f t="shared" si="127"/>
        <v>228509</v>
      </c>
      <c r="M323" s="354">
        <f t="shared" si="131"/>
        <v>0.9860786227238314</v>
      </c>
      <c r="N323" s="353"/>
      <c r="O323" s="431">
        <f>+X323*1.01+387</f>
        <v>93363.56</v>
      </c>
      <c r="P323" s="119"/>
      <c r="Q323" s="119"/>
      <c r="R323" s="119">
        <f>+AA323</f>
        <v>16733</v>
      </c>
      <c r="S323" s="119"/>
      <c r="T323" s="119"/>
      <c r="U323" s="119"/>
      <c r="V323" s="119">
        <f>97231.28+9000+9000</f>
        <v>115231.28</v>
      </c>
      <c r="W323" s="356"/>
      <c r="X323" s="290">
        <f>94662-1380-1226</f>
        <v>92056</v>
      </c>
      <c r="Y323" s="119"/>
      <c r="Z323" s="119"/>
      <c r="AA323" s="119">
        <v>16733</v>
      </c>
      <c r="AB323" s="119"/>
      <c r="AC323" s="119"/>
      <c r="AD323" s="119"/>
      <c r="AE323" s="355">
        <f>97650+13000+9070</f>
        <v>119720</v>
      </c>
      <c r="AF323" s="356"/>
    </row>
    <row r="324" spans="1:103" s="351" customFormat="1" ht="15.75" x14ac:dyDescent="0.25">
      <c r="A324" s="345" t="s">
        <v>240</v>
      </c>
      <c r="B324" s="474" t="s">
        <v>340</v>
      </c>
      <c r="C324" s="430">
        <f>+C325</f>
        <v>37146.07</v>
      </c>
      <c r="D324" s="455">
        <f>+D325</f>
        <v>38804.51</v>
      </c>
      <c r="E324" s="274">
        <f>+E325</f>
        <v>36997.81</v>
      </c>
      <c r="F324" s="455">
        <f>+F325</f>
        <v>36765</v>
      </c>
      <c r="G324" s="292">
        <f t="shared" si="118"/>
        <v>1.0554742282061744</v>
      </c>
      <c r="H324" s="489">
        <f t="shared" si="130"/>
        <v>0.98974131045356883</v>
      </c>
      <c r="I324" s="349"/>
      <c r="J324" s="347">
        <f>+J325</f>
        <v>38805</v>
      </c>
      <c r="K324" s="291"/>
      <c r="L324" s="291">
        <f t="shared" si="127"/>
        <v>36765</v>
      </c>
      <c r="M324" s="348">
        <f t="shared" si="131"/>
        <v>1.0554875560995511</v>
      </c>
      <c r="N324" s="392"/>
      <c r="O324" s="430">
        <f>+O325</f>
        <v>38805</v>
      </c>
      <c r="P324" s="455">
        <f t="shared" ref="P324:AF324" si="136">SUM(P325:P325)</f>
        <v>0</v>
      </c>
      <c r="Q324" s="455">
        <f t="shared" si="136"/>
        <v>0</v>
      </c>
      <c r="R324" s="455">
        <f t="shared" si="136"/>
        <v>0</v>
      </c>
      <c r="S324" s="455">
        <f t="shared" si="136"/>
        <v>0</v>
      </c>
      <c r="T324" s="455">
        <f t="shared" si="136"/>
        <v>0</v>
      </c>
      <c r="U324" s="455">
        <f t="shared" si="136"/>
        <v>0</v>
      </c>
      <c r="V324" s="455">
        <f t="shared" si="136"/>
        <v>0</v>
      </c>
      <c r="W324" s="350">
        <f t="shared" si="136"/>
        <v>0</v>
      </c>
      <c r="X324" s="349">
        <f t="shared" si="136"/>
        <v>36765</v>
      </c>
      <c r="Y324" s="455">
        <f t="shared" si="136"/>
        <v>0</v>
      </c>
      <c r="Z324" s="455">
        <f t="shared" si="136"/>
        <v>0</v>
      </c>
      <c r="AA324" s="455">
        <f t="shared" si="136"/>
        <v>0</v>
      </c>
      <c r="AB324" s="455">
        <f t="shared" si="136"/>
        <v>0</v>
      </c>
      <c r="AC324" s="455">
        <f t="shared" si="136"/>
        <v>0</v>
      </c>
      <c r="AD324" s="455">
        <f t="shared" si="136"/>
        <v>0</v>
      </c>
      <c r="AE324" s="455">
        <f t="shared" si="136"/>
        <v>0</v>
      </c>
      <c r="AF324" s="350">
        <f t="shared" si="136"/>
        <v>0</v>
      </c>
      <c r="AG324" s="293"/>
      <c r="AH324" s="293"/>
      <c r="AI324" s="293"/>
      <c r="AJ324" s="293"/>
      <c r="AK324" s="293"/>
      <c r="AL324" s="293"/>
      <c r="AM324" s="293"/>
      <c r="AN324" s="293"/>
      <c r="AO324" s="293"/>
      <c r="AP324" s="293"/>
      <c r="AQ324" s="293"/>
      <c r="AR324" s="293"/>
      <c r="AS324" s="293"/>
      <c r="AT324" s="293"/>
      <c r="AU324" s="293"/>
      <c r="AV324" s="293"/>
      <c r="AW324" s="293"/>
      <c r="AX324" s="293"/>
      <c r="AY324" s="293"/>
      <c r="AZ324" s="293"/>
      <c r="BA324" s="293"/>
      <c r="BB324" s="293"/>
      <c r="BC324" s="293"/>
      <c r="BD324" s="293"/>
      <c r="BE324" s="293"/>
      <c r="BF324" s="293"/>
      <c r="BG324" s="293"/>
      <c r="BH324" s="293"/>
      <c r="BI324" s="293"/>
      <c r="BJ324" s="293"/>
      <c r="BK324" s="293"/>
      <c r="BL324" s="293"/>
      <c r="BM324" s="293"/>
      <c r="BN324" s="293"/>
      <c r="BO324" s="293"/>
      <c r="BP324" s="293"/>
      <c r="BQ324" s="293"/>
      <c r="BR324" s="293"/>
      <c r="BS324" s="293"/>
      <c r="BT324" s="293"/>
      <c r="BU324" s="293"/>
      <c r="BV324" s="293"/>
      <c r="BW324" s="293"/>
      <c r="BX324" s="293"/>
      <c r="BY324" s="293"/>
      <c r="BZ324" s="293"/>
      <c r="CA324" s="293"/>
      <c r="CB324" s="293"/>
      <c r="CC324" s="293"/>
      <c r="CD324" s="293"/>
      <c r="CE324" s="293"/>
      <c r="CF324" s="293"/>
      <c r="CG324" s="293"/>
      <c r="CH324" s="293"/>
      <c r="CI324" s="293"/>
      <c r="CJ324" s="293"/>
      <c r="CK324" s="293"/>
      <c r="CL324" s="293"/>
      <c r="CM324" s="293"/>
      <c r="CN324" s="293"/>
      <c r="CO324" s="293"/>
      <c r="CP324" s="293"/>
      <c r="CQ324" s="293"/>
      <c r="CR324" s="293"/>
      <c r="CS324" s="293"/>
      <c r="CT324" s="293"/>
      <c r="CU324" s="293"/>
      <c r="CV324" s="293"/>
      <c r="CW324" s="293"/>
      <c r="CX324" s="293"/>
      <c r="CY324" s="293"/>
    </row>
    <row r="325" spans="1:103" outlineLevel="1" x14ac:dyDescent="0.25">
      <c r="A325" s="352" t="s">
        <v>241</v>
      </c>
      <c r="B325" s="475" t="s">
        <v>645</v>
      </c>
      <c r="C325" s="431">
        <v>37146.07</v>
      </c>
      <c r="D325" s="119">
        <f>39857.73-1053.22</f>
        <v>38804.51</v>
      </c>
      <c r="E325" s="110">
        <v>36997.81</v>
      </c>
      <c r="F325" s="119">
        <f>37471-706</f>
        <v>36765</v>
      </c>
      <c r="G325" s="294">
        <f t="shared" si="118"/>
        <v>1.0554742282061744</v>
      </c>
      <c r="H325" s="490">
        <f t="shared" si="130"/>
        <v>0.98974131045356883</v>
      </c>
      <c r="I325" s="290"/>
      <c r="J325" s="119">
        <f t="shared" si="135"/>
        <v>38805</v>
      </c>
      <c r="K325" s="290"/>
      <c r="L325" s="290">
        <f t="shared" si="127"/>
        <v>36765</v>
      </c>
      <c r="M325" s="354">
        <f t="shared" si="131"/>
        <v>1.0554875560995511</v>
      </c>
      <c r="N325" s="353"/>
      <c r="O325" s="431">
        <v>38805</v>
      </c>
      <c r="P325" s="119"/>
      <c r="Q325" s="119"/>
      <c r="R325" s="119"/>
      <c r="S325" s="119"/>
      <c r="T325" s="119"/>
      <c r="U325" s="119"/>
      <c r="V325" s="119"/>
      <c r="W325" s="356"/>
      <c r="X325" s="290">
        <f>35539+1226</f>
        <v>36765</v>
      </c>
      <c r="Y325" s="119"/>
      <c r="Z325" s="119"/>
      <c r="AA325" s="119"/>
      <c r="AB325" s="119"/>
      <c r="AC325" s="119"/>
      <c r="AD325" s="119"/>
      <c r="AE325" s="355"/>
      <c r="AF325" s="356"/>
    </row>
    <row r="326" spans="1:103" s="351" customFormat="1" ht="15.75" x14ac:dyDescent="0.25">
      <c r="A326" s="345" t="s">
        <v>243</v>
      </c>
      <c r="B326" s="474" t="s">
        <v>341</v>
      </c>
      <c r="C326" s="430">
        <f>+C327+C328+C329+C330+C331+C332</f>
        <v>43331.200000000004</v>
      </c>
      <c r="D326" s="455">
        <f>+D327+D328+D329+D330+D331+D332</f>
        <v>44899.040000000001</v>
      </c>
      <c r="E326" s="274">
        <f>+E327+E328+E329+E330+E331+E332</f>
        <v>44192.14</v>
      </c>
      <c r="F326" s="455">
        <f>+F327+F328+F329+F330+F331+F332</f>
        <v>48896</v>
      </c>
      <c r="G326" s="292">
        <f t="shared" si="118"/>
        <v>0.91825589005235608</v>
      </c>
      <c r="H326" s="489">
        <f t="shared" si="130"/>
        <v>1.1284247839893655</v>
      </c>
      <c r="I326" s="349"/>
      <c r="J326" s="347">
        <f>+J327+J328+J329+J330+J331+J332</f>
        <v>45249</v>
      </c>
      <c r="K326" s="391"/>
      <c r="L326" s="391">
        <f t="shared" si="127"/>
        <v>46840</v>
      </c>
      <c r="M326" s="392">
        <f t="shared" si="131"/>
        <v>0.9660333048676345</v>
      </c>
      <c r="N326" s="392"/>
      <c r="O326" s="430">
        <f>SUM(O327:O332)</f>
        <v>45249</v>
      </c>
      <c r="P326" s="455">
        <f t="shared" ref="P326:W326" si="137">SUM(P327:P331)</f>
        <v>0</v>
      </c>
      <c r="Q326" s="455">
        <f t="shared" si="137"/>
        <v>0</v>
      </c>
      <c r="R326" s="455">
        <f t="shared" si="137"/>
        <v>0</v>
      </c>
      <c r="S326" s="455">
        <f t="shared" si="137"/>
        <v>0</v>
      </c>
      <c r="T326" s="455">
        <f t="shared" si="137"/>
        <v>0</v>
      </c>
      <c r="U326" s="455">
        <f t="shared" si="137"/>
        <v>0</v>
      </c>
      <c r="V326" s="455">
        <f t="shared" si="137"/>
        <v>0</v>
      </c>
      <c r="W326" s="350">
        <f t="shared" si="137"/>
        <v>0</v>
      </c>
      <c r="X326" s="514">
        <f>SUM(X327:X332)</f>
        <v>46840</v>
      </c>
      <c r="Y326" s="393">
        <f t="shared" ref="Y326:AF326" si="138">SUM(Y327:Y331)</f>
        <v>0</v>
      </c>
      <c r="Z326" s="393">
        <f t="shared" si="138"/>
        <v>0</v>
      </c>
      <c r="AA326" s="393">
        <f t="shared" si="138"/>
        <v>0</v>
      </c>
      <c r="AB326" s="393">
        <f t="shared" si="138"/>
        <v>0</v>
      </c>
      <c r="AC326" s="393">
        <f t="shared" si="138"/>
        <v>0</v>
      </c>
      <c r="AD326" s="393">
        <f t="shared" si="138"/>
        <v>0</v>
      </c>
      <c r="AE326" s="393">
        <f t="shared" si="138"/>
        <v>0</v>
      </c>
      <c r="AF326" s="350">
        <f t="shared" si="138"/>
        <v>0</v>
      </c>
      <c r="AG326" s="293"/>
      <c r="AH326" s="293"/>
      <c r="AI326" s="293"/>
      <c r="AJ326" s="293"/>
      <c r="AK326" s="293"/>
      <c r="AL326" s="293"/>
      <c r="AM326" s="293"/>
      <c r="AN326" s="293"/>
      <c r="AO326" s="293"/>
      <c r="AP326" s="293"/>
      <c r="AQ326" s="293"/>
      <c r="AR326" s="293"/>
      <c r="AS326" s="293"/>
      <c r="AT326" s="293"/>
      <c r="AU326" s="293"/>
      <c r="AV326" s="293"/>
      <c r="AW326" s="293"/>
      <c r="AX326" s="293"/>
      <c r="AY326" s="293"/>
      <c r="AZ326" s="293"/>
      <c r="BA326" s="293"/>
      <c r="BB326" s="293"/>
      <c r="BC326" s="293"/>
      <c r="BD326" s="293"/>
      <c r="BE326" s="293"/>
      <c r="BF326" s="293"/>
      <c r="BG326" s="293"/>
      <c r="BH326" s="293"/>
      <c r="BI326" s="293"/>
      <c r="BJ326" s="293"/>
      <c r="BK326" s="293"/>
      <c r="BL326" s="293"/>
      <c r="BM326" s="293"/>
      <c r="BN326" s="293"/>
      <c r="BO326" s="293"/>
      <c r="BP326" s="293"/>
      <c r="BQ326" s="293"/>
      <c r="BR326" s="293"/>
      <c r="BS326" s="293"/>
      <c r="BT326" s="293"/>
      <c r="BU326" s="293"/>
      <c r="BV326" s="293"/>
      <c r="BW326" s="293"/>
      <c r="BX326" s="293"/>
      <c r="BY326" s="293"/>
      <c r="BZ326" s="293"/>
      <c r="CA326" s="293"/>
      <c r="CB326" s="293"/>
      <c r="CC326" s="293"/>
      <c r="CD326" s="293"/>
      <c r="CE326" s="293"/>
      <c r="CF326" s="293"/>
      <c r="CG326" s="293"/>
      <c r="CH326" s="293"/>
      <c r="CI326" s="293"/>
      <c r="CJ326" s="293"/>
      <c r="CK326" s="293"/>
      <c r="CL326" s="293"/>
      <c r="CM326" s="293"/>
      <c r="CN326" s="293"/>
      <c r="CO326" s="293"/>
      <c r="CP326" s="293"/>
      <c r="CQ326" s="293"/>
      <c r="CR326" s="293"/>
      <c r="CS326" s="293"/>
      <c r="CT326" s="293"/>
      <c r="CU326" s="293"/>
      <c r="CV326" s="293"/>
      <c r="CW326" s="293"/>
      <c r="CX326" s="293"/>
      <c r="CY326" s="293"/>
    </row>
    <row r="327" spans="1:103" outlineLevel="1" x14ac:dyDescent="0.25">
      <c r="A327" s="352" t="s">
        <v>244</v>
      </c>
      <c r="B327" s="475" t="s">
        <v>643</v>
      </c>
      <c r="C327" s="431">
        <v>16077.24</v>
      </c>
      <c r="D327" s="119">
        <v>16728.310000000001</v>
      </c>
      <c r="E327" s="110">
        <v>15988.13</v>
      </c>
      <c r="F327" s="119">
        <v>16889</v>
      </c>
      <c r="G327" s="294">
        <f t="shared" si="118"/>
        <v>0.99048552312155846</v>
      </c>
      <c r="H327" s="490">
        <f t="shared" si="130"/>
        <v>1.0504912534738551</v>
      </c>
      <c r="I327" s="290"/>
      <c r="J327" s="119">
        <f t="shared" si="135"/>
        <v>16728</v>
      </c>
      <c r="K327" s="290"/>
      <c r="L327" s="290">
        <f t="shared" si="127"/>
        <v>16000</v>
      </c>
      <c r="M327" s="354">
        <f t="shared" si="131"/>
        <v>1.0455000000000001</v>
      </c>
      <c r="N327" s="353"/>
      <c r="O327" s="431">
        <v>16728</v>
      </c>
      <c r="P327" s="119"/>
      <c r="Q327" s="119"/>
      <c r="R327" s="119"/>
      <c r="S327" s="119"/>
      <c r="T327" s="119"/>
      <c r="U327" s="119"/>
      <c r="V327" s="119"/>
      <c r="W327" s="356"/>
      <c r="X327" s="290">
        <v>16000</v>
      </c>
      <c r="Y327" s="119"/>
      <c r="Z327" s="119"/>
      <c r="AA327" s="119"/>
      <c r="AB327" s="119"/>
      <c r="AC327" s="119"/>
      <c r="AD327" s="119"/>
      <c r="AE327" s="355"/>
      <c r="AF327" s="356"/>
    </row>
    <row r="328" spans="1:103" outlineLevel="1" x14ac:dyDescent="0.25">
      <c r="A328" s="352" t="s">
        <v>245</v>
      </c>
      <c r="B328" s="475" t="s">
        <v>644</v>
      </c>
      <c r="C328" s="431">
        <v>12992.59</v>
      </c>
      <c r="D328" s="119">
        <v>13930.71</v>
      </c>
      <c r="E328" s="110">
        <v>13664.71</v>
      </c>
      <c r="F328" s="119">
        <v>15566</v>
      </c>
      <c r="G328" s="294">
        <f t="shared" si="118"/>
        <v>0.89494475138121543</v>
      </c>
      <c r="H328" s="490">
        <f t="shared" si="130"/>
        <v>1.1980675138675199</v>
      </c>
      <c r="I328" s="290"/>
      <c r="J328" s="119">
        <f t="shared" si="135"/>
        <v>13931</v>
      </c>
      <c r="K328" s="290"/>
      <c r="L328" s="290">
        <f t="shared" si="127"/>
        <v>14750</v>
      </c>
      <c r="M328" s="354">
        <f t="shared" si="131"/>
        <v>0.94447457627118647</v>
      </c>
      <c r="N328" s="353"/>
      <c r="O328" s="431">
        <v>13931</v>
      </c>
      <c r="P328" s="119"/>
      <c r="Q328" s="119"/>
      <c r="R328" s="119"/>
      <c r="S328" s="119"/>
      <c r="T328" s="119"/>
      <c r="U328" s="119"/>
      <c r="V328" s="119"/>
      <c r="W328" s="356"/>
      <c r="X328" s="290">
        <v>14750</v>
      </c>
      <c r="Y328" s="119"/>
      <c r="Z328" s="119"/>
      <c r="AA328" s="119"/>
      <c r="AB328" s="119"/>
      <c r="AC328" s="119"/>
      <c r="AD328" s="119"/>
      <c r="AE328" s="355"/>
      <c r="AF328" s="356"/>
    </row>
    <row r="329" spans="1:103" outlineLevel="1" x14ac:dyDescent="0.25">
      <c r="A329" s="352" t="s">
        <v>647</v>
      </c>
      <c r="B329" s="475" t="s">
        <v>641</v>
      </c>
      <c r="C329" s="431">
        <v>9554.67</v>
      </c>
      <c r="D329" s="119">
        <v>9950.02</v>
      </c>
      <c r="E329" s="110">
        <v>9422.82</v>
      </c>
      <c r="F329" s="119">
        <v>10351</v>
      </c>
      <c r="G329" s="294">
        <f t="shared" si="118"/>
        <v>0.96126171384407311</v>
      </c>
      <c r="H329" s="490">
        <f t="shared" si="130"/>
        <v>1.0833445843760172</v>
      </c>
      <c r="I329" s="290"/>
      <c r="J329" s="119">
        <f t="shared" si="135"/>
        <v>10100</v>
      </c>
      <c r="K329" s="290"/>
      <c r="L329" s="290">
        <f t="shared" si="127"/>
        <v>10000</v>
      </c>
      <c r="M329" s="354">
        <f t="shared" si="131"/>
        <v>1.01</v>
      </c>
      <c r="N329" s="353"/>
      <c r="O329" s="431">
        <f>+X329*1.01</f>
        <v>10100</v>
      </c>
      <c r="P329" s="119"/>
      <c r="Q329" s="119"/>
      <c r="R329" s="119"/>
      <c r="S329" s="119"/>
      <c r="T329" s="119"/>
      <c r="U329" s="119"/>
      <c r="V329" s="119"/>
      <c r="W329" s="356"/>
      <c r="X329" s="290">
        <v>10000</v>
      </c>
      <c r="Y329" s="119"/>
      <c r="Z329" s="119"/>
      <c r="AA329" s="119"/>
      <c r="AB329" s="119"/>
      <c r="AC329" s="119"/>
      <c r="AD329" s="119"/>
      <c r="AE329" s="355"/>
      <c r="AF329" s="356"/>
    </row>
    <row r="330" spans="1:103" outlineLevel="1" x14ac:dyDescent="0.25">
      <c r="A330" s="352" t="s">
        <v>959</v>
      </c>
      <c r="B330" s="475" t="s">
        <v>894</v>
      </c>
      <c r="C330" s="431">
        <v>3844.17</v>
      </c>
      <c r="D330" s="119">
        <v>3800</v>
      </c>
      <c r="E330" s="110">
        <v>3248.72</v>
      </c>
      <c r="F330" s="119">
        <v>4260</v>
      </c>
      <c r="G330" s="294">
        <f t="shared" si="118"/>
        <v>0.892018779342723</v>
      </c>
      <c r="H330" s="490">
        <f t="shared" si="130"/>
        <v>1.1081715949086539</v>
      </c>
      <c r="I330" s="290"/>
      <c r="J330" s="119">
        <f t="shared" si="135"/>
        <v>4000</v>
      </c>
      <c r="K330" s="290"/>
      <c r="L330" s="290">
        <f t="shared" si="127"/>
        <v>4260</v>
      </c>
      <c r="M330" s="354">
        <f t="shared" si="131"/>
        <v>0.93896713615023475</v>
      </c>
      <c r="N330" s="353"/>
      <c r="O330" s="431">
        <v>4000</v>
      </c>
      <c r="P330" s="119"/>
      <c r="Q330" s="119"/>
      <c r="R330" s="119"/>
      <c r="S330" s="119"/>
      <c r="T330" s="119"/>
      <c r="U330" s="119"/>
      <c r="V330" s="119"/>
      <c r="W330" s="356"/>
      <c r="X330" s="290">
        <v>4260</v>
      </c>
      <c r="Y330" s="119"/>
      <c r="Z330" s="119"/>
      <c r="AA330" s="119"/>
      <c r="AB330" s="119"/>
      <c r="AC330" s="119"/>
      <c r="AD330" s="119"/>
      <c r="AE330" s="355"/>
      <c r="AF330" s="356"/>
    </row>
    <row r="331" spans="1:103" outlineLevel="1" x14ac:dyDescent="0.25">
      <c r="A331" s="352" t="s">
        <v>1006</v>
      </c>
      <c r="B331" s="475" t="s">
        <v>1018</v>
      </c>
      <c r="C331" s="431">
        <v>518.37</v>
      </c>
      <c r="D331" s="119">
        <v>490</v>
      </c>
      <c r="E331" s="110">
        <v>487.76</v>
      </c>
      <c r="F331" s="119">
        <v>450</v>
      </c>
      <c r="G331" s="294">
        <f t="shared" si="118"/>
        <v>1.0888888888888888</v>
      </c>
      <c r="H331" s="490">
        <f t="shared" si="130"/>
        <v>0.86810579315932634</v>
      </c>
      <c r="I331" s="290"/>
      <c r="J331" s="119">
        <f t="shared" si="135"/>
        <v>490</v>
      </c>
      <c r="K331" s="290"/>
      <c r="L331" s="290">
        <f t="shared" si="127"/>
        <v>450</v>
      </c>
      <c r="M331" s="354">
        <f t="shared" si="131"/>
        <v>1.0888888888888888</v>
      </c>
      <c r="N331" s="353"/>
      <c r="O331" s="431">
        <v>490</v>
      </c>
      <c r="P331" s="119"/>
      <c r="Q331" s="119"/>
      <c r="R331" s="119"/>
      <c r="S331" s="119"/>
      <c r="T331" s="119"/>
      <c r="U331" s="119"/>
      <c r="V331" s="119"/>
      <c r="W331" s="356"/>
      <c r="X331" s="290">
        <v>450</v>
      </c>
      <c r="Y331" s="119"/>
      <c r="Z331" s="119"/>
      <c r="AA331" s="119"/>
      <c r="AB331" s="119"/>
      <c r="AC331" s="119"/>
      <c r="AD331" s="119"/>
      <c r="AE331" s="355"/>
      <c r="AF331" s="356"/>
    </row>
    <row r="332" spans="1:103" outlineLevel="1" x14ac:dyDescent="0.25">
      <c r="A332" s="352" t="s">
        <v>1202</v>
      </c>
      <c r="B332" s="475" t="s">
        <v>1203</v>
      </c>
      <c r="C332" s="431">
        <v>344.16</v>
      </c>
      <c r="D332" s="119"/>
      <c r="E332" s="110">
        <v>1380</v>
      </c>
      <c r="F332" s="119">
        <v>1380</v>
      </c>
      <c r="G332" s="294">
        <f t="shared" si="118"/>
        <v>0</v>
      </c>
      <c r="H332" s="490">
        <f t="shared" si="130"/>
        <v>4.0097629009762894</v>
      </c>
      <c r="I332" s="290"/>
      <c r="J332" s="119">
        <f t="shared" si="135"/>
        <v>0</v>
      </c>
      <c r="K332" s="290"/>
      <c r="L332" s="290">
        <f t="shared" si="127"/>
        <v>1380</v>
      </c>
      <c r="M332" s="354">
        <f t="shared" si="131"/>
        <v>0</v>
      </c>
      <c r="N332" s="353"/>
      <c r="O332" s="431"/>
      <c r="P332" s="119"/>
      <c r="Q332" s="119"/>
      <c r="R332" s="119"/>
      <c r="S332" s="119"/>
      <c r="T332" s="119"/>
      <c r="U332" s="119"/>
      <c r="V332" s="119"/>
      <c r="W332" s="356"/>
      <c r="X332" s="290">
        <v>1380</v>
      </c>
      <c r="Y332" s="119"/>
      <c r="Z332" s="119"/>
      <c r="AA332" s="119"/>
      <c r="AB332" s="119"/>
      <c r="AC332" s="119"/>
      <c r="AD332" s="119"/>
      <c r="AE332" s="355"/>
      <c r="AF332" s="356"/>
    </row>
    <row r="333" spans="1:103" s="293" customFormat="1" ht="15.75" outlineLevel="1" x14ac:dyDescent="0.25">
      <c r="A333" s="450" t="s">
        <v>1366</v>
      </c>
      <c r="B333" s="480" t="s">
        <v>1365</v>
      </c>
      <c r="C333" s="430"/>
      <c r="D333" s="455">
        <f>+D334</f>
        <v>7594.666666666647</v>
      </c>
      <c r="E333" s="503">
        <f>+E334</f>
        <v>70.290000000000006</v>
      </c>
      <c r="F333" s="455">
        <f>+F334</f>
        <v>14036</v>
      </c>
      <c r="G333" s="292">
        <f t="shared" si="118"/>
        <v>0.54108482948608205</v>
      </c>
      <c r="H333" s="468"/>
      <c r="I333" s="349"/>
      <c r="J333" s="449">
        <f>+J334</f>
        <v>5696</v>
      </c>
      <c r="K333" s="296"/>
      <c r="L333" s="296">
        <f t="shared" si="127"/>
        <v>10527</v>
      </c>
      <c r="M333" s="292">
        <f t="shared" si="131"/>
        <v>0.54108482948608339</v>
      </c>
      <c r="N333" s="281"/>
      <c r="O333" s="430">
        <f>+O334</f>
        <v>0</v>
      </c>
      <c r="P333" s="455"/>
      <c r="Q333" s="455"/>
      <c r="R333" s="455"/>
      <c r="S333" s="455"/>
      <c r="T333" s="455"/>
      <c r="U333" s="455"/>
      <c r="V333" s="455"/>
      <c r="W333" s="350">
        <f>+W334</f>
        <v>5696</v>
      </c>
      <c r="X333" s="349">
        <f>+X334</f>
        <v>0</v>
      </c>
      <c r="Y333" s="455">
        <f t="shared" ref="Y333:AE333" si="139">+Y334</f>
        <v>0</v>
      </c>
      <c r="Z333" s="455">
        <f t="shared" si="139"/>
        <v>0</v>
      </c>
      <c r="AA333" s="455">
        <f t="shared" si="139"/>
        <v>0</v>
      </c>
      <c r="AB333" s="455">
        <f t="shared" si="139"/>
        <v>0</v>
      </c>
      <c r="AC333" s="455">
        <f t="shared" si="139"/>
        <v>0</v>
      </c>
      <c r="AD333" s="455">
        <f t="shared" si="139"/>
        <v>0</v>
      </c>
      <c r="AE333" s="455">
        <f t="shared" si="139"/>
        <v>0</v>
      </c>
      <c r="AF333" s="350">
        <f>+AF334</f>
        <v>10527</v>
      </c>
    </row>
    <row r="334" spans="1:103" outlineLevel="1" x14ac:dyDescent="0.25">
      <c r="A334" s="452" t="s">
        <v>1367</v>
      </c>
      <c r="B334" s="481" t="s">
        <v>1368</v>
      </c>
      <c r="C334" s="431"/>
      <c r="D334" s="119">
        <f>+J334*1.33333333333333</f>
        <v>7594.666666666647</v>
      </c>
      <c r="E334" s="110">
        <v>70.290000000000006</v>
      </c>
      <c r="F334" s="119">
        <v>14036</v>
      </c>
      <c r="G334" s="294">
        <f t="shared" si="118"/>
        <v>0.54108482948608205</v>
      </c>
      <c r="H334" s="470"/>
      <c r="I334" s="290"/>
      <c r="J334" s="119">
        <f t="shared" si="135"/>
        <v>5696</v>
      </c>
      <c r="K334" s="290"/>
      <c r="L334" s="290">
        <f t="shared" si="127"/>
        <v>10527</v>
      </c>
      <c r="M334" s="294">
        <f t="shared" si="131"/>
        <v>0.54108482948608339</v>
      </c>
      <c r="N334" s="209"/>
      <c r="O334" s="431"/>
      <c r="P334" s="119"/>
      <c r="Q334" s="119"/>
      <c r="R334" s="119"/>
      <c r="S334" s="119"/>
      <c r="T334" s="119"/>
      <c r="U334" s="119"/>
      <c r="V334" s="119"/>
      <c r="W334" s="356">
        <v>5696</v>
      </c>
      <c r="X334" s="290"/>
      <c r="Y334" s="119"/>
      <c r="Z334" s="119"/>
      <c r="AA334" s="119"/>
      <c r="AB334" s="119"/>
      <c r="AC334" s="119"/>
      <c r="AD334" s="119"/>
      <c r="AE334" s="119"/>
      <c r="AF334" s="356">
        <v>10527</v>
      </c>
    </row>
    <row r="335" spans="1:103" s="344" customFormat="1" ht="21" x14ac:dyDescent="0.35">
      <c r="A335" s="338" t="s">
        <v>246</v>
      </c>
      <c r="B335" s="473" t="s">
        <v>522</v>
      </c>
      <c r="C335" s="429">
        <f>+C336+C341+C345+C348+C355+C362+C365+C368+C371+C375+C380+C382+C384+C386+C388+C390+C392+C394+C396+C398+C400+C402+C381+C383+C385+C387+C389+C391+C393+C395+C397+C399+C401+C403</f>
        <v>50914.64</v>
      </c>
      <c r="D335" s="339">
        <f>+D336+D341+D345+D348+D355+D362+D365+D368+D371+D375+D380+D382+D384+D386+D388+D390+D392+D394+D396+D398+D400+D402</f>
        <v>51196.000000000007</v>
      </c>
      <c r="E335" s="501">
        <f>+E336+E341+E345+E348+E355+E362+E365+E368+E371+E375+E380+E382+E384+E386+E388+E390+E392+E394+E396+E398+E400+E402</f>
        <v>46089.22</v>
      </c>
      <c r="F335" s="339">
        <f>+F336+F341+F345+F348+F355+F362+F365+F368+F371+F375+F380+F382+F384+F386+F388+F390+F392+F394+F396+F398+F400+F402</f>
        <v>56900.000000000007</v>
      </c>
      <c r="G335" s="340">
        <f t="shared" si="118"/>
        <v>0.89975395430579963</v>
      </c>
      <c r="H335" s="488">
        <f>+F335/C335</f>
        <v>1.1175567577419776</v>
      </c>
      <c r="I335" s="288">
        <v>54679</v>
      </c>
      <c r="J335" s="339">
        <f t="shared" si="135"/>
        <v>51196</v>
      </c>
      <c r="K335" s="288">
        <v>30504.94</v>
      </c>
      <c r="L335" s="288">
        <f t="shared" si="127"/>
        <v>56900</v>
      </c>
      <c r="M335" s="342">
        <f t="shared" si="131"/>
        <v>0.89975395430579963</v>
      </c>
      <c r="N335" s="341">
        <f>+L335/I335</f>
        <v>1.0406188847638034</v>
      </c>
      <c r="O335" s="429">
        <f t="shared" ref="O335:W335" si="140">O336+O341+O345+O348+O355+O362+O365+O368+O371+O375+O380+O382+O384+O386+O388+O390+O392+O394+O396+O398+O400+O402</f>
        <v>42626</v>
      </c>
      <c r="P335" s="339">
        <f t="shared" si="140"/>
        <v>4900</v>
      </c>
      <c r="Q335" s="339">
        <f t="shared" si="140"/>
        <v>3520.0000000000005</v>
      </c>
      <c r="R335" s="339">
        <f t="shared" si="140"/>
        <v>0</v>
      </c>
      <c r="S335" s="339">
        <f t="shared" si="140"/>
        <v>0</v>
      </c>
      <c r="T335" s="339">
        <f t="shared" si="140"/>
        <v>0</v>
      </c>
      <c r="U335" s="339">
        <f t="shared" si="140"/>
        <v>150</v>
      </c>
      <c r="V335" s="339">
        <f t="shared" si="140"/>
        <v>0</v>
      </c>
      <c r="W335" s="461">
        <f t="shared" si="140"/>
        <v>0</v>
      </c>
      <c r="X335" s="288">
        <f>+X336+X341+X345+X348+X355+X362+X365+X368+X371+X375+X380+X382+X384+X386+X388+X390+X392+X394+X396+X398+X400+X402</f>
        <v>46450</v>
      </c>
      <c r="Y335" s="288">
        <f>+Y336+Y341+Y345+Y348+Y355+Y362+Y365+Y368+Y371+Y375+Y380+Y382+Y384+Y386+Y388+Y390+Y392+Y394+Y396+Y398+Y400+Y402</f>
        <v>4900</v>
      </c>
      <c r="Z335" s="288">
        <f>+Z336+Z341+Z345+Z348+Z355+Z362+Z365+Z368+Z371+Z375+Z380+Z382+Z384+Z386+Z388+Z390+Z392+Z394+Z396+Z398+Z400+Z402</f>
        <v>4400</v>
      </c>
      <c r="AA335" s="288"/>
      <c r="AB335" s="288"/>
      <c r="AC335" s="288">
        <f>+AC336+AC341+AC345+AC348+AC355+AC362+AC365+AC368+AC371+AC375+AC380+AC382+AC384+AC386+AC388+AC390+AC392+AC394+AC396+AC398+AC400+AC402</f>
        <v>0</v>
      </c>
      <c r="AD335" s="288">
        <f>+AD336+AD341+AD345+AD348+AD355+AD362+AD365+AD368+AD371+AD375+AD380+AD382+AD384+AD386+AD388+AD390+AD392+AD394+AD396+AD398+AD400+AD402</f>
        <v>1150</v>
      </c>
      <c r="AE335" s="288">
        <f>+AE336+AE341+AE345+AE348+AE355+AE362+AE365+AE368+AE371+AE375+AE380+AE382+AE384+AE386+AE388+AE390+AE392+AE394+AE396+AE398+AE400+AE402</f>
        <v>0</v>
      </c>
      <c r="AF335" s="289">
        <f>+AF336+AF341+AF345+AF348+AF355+AF362+AF365+AF368+AF371+AF375+AF380+AF382+AF384+AF386+AF388+AF390+AF392+AF394+AF396+AF398+AF400+AF402</f>
        <v>0</v>
      </c>
      <c r="AG335" s="343"/>
      <c r="AH335" s="343"/>
      <c r="AI335" s="343"/>
      <c r="AJ335" s="343"/>
      <c r="AK335" s="343"/>
      <c r="AL335" s="343"/>
      <c r="AM335" s="343"/>
      <c r="AN335" s="343"/>
      <c r="AO335" s="343"/>
      <c r="AP335" s="343"/>
      <c r="AQ335" s="343"/>
      <c r="AR335" s="343"/>
      <c r="AS335" s="343"/>
      <c r="AT335" s="343"/>
      <c r="AU335" s="343"/>
      <c r="AV335" s="343"/>
      <c r="AW335" s="343"/>
      <c r="AX335" s="343"/>
      <c r="AY335" s="343"/>
      <c r="AZ335" s="343"/>
      <c r="BA335" s="343"/>
      <c r="BB335" s="343"/>
      <c r="BC335" s="343"/>
      <c r="BD335" s="343"/>
      <c r="BE335" s="343"/>
      <c r="BF335" s="343"/>
      <c r="BG335" s="343"/>
      <c r="BH335" s="343"/>
      <c r="BI335" s="343"/>
      <c r="BJ335" s="343"/>
      <c r="BK335" s="343"/>
      <c r="BL335" s="343"/>
      <c r="BM335" s="343"/>
      <c r="BN335" s="343"/>
      <c r="BO335" s="343"/>
      <c r="BP335" s="343"/>
      <c r="BQ335" s="343"/>
      <c r="BR335" s="343"/>
      <c r="BS335" s="343"/>
      <c r="BT335" s="343"/>
      <c r="BU335" s="343"/>
      <c r="BV335" s="343"/>
      <c r="BW335" s="343"/>
      <c r="BX335" s="343"/>
      <c r="BY335" s="343"/>
      <c r="BZ335" s="343"/>
      <c r="CA335" s="343"/>
      <c r="CB335" s="343"/>
      <c r="CC335" s="343"/>
      <c r="CD335" s="343"/>
      <c r="CE335" s="343"/>
      <c r="CF335" s="343"/>
      <c r="CG335" s="343"/>
      <c r="CH335" s="343"/>
      <c r="CI335" s="343"/>
      <c r="CJ335" s="343"/>
      <c r="CK335" s="343"/>
      <c r="CL335" s="343"/>
      <c r="CM335" s="343"/>
      <c r="CN335" s="343"/>
      <c r="CO335" s="343"/>
      <c r="CP335" s="343"/>
      <c r="CQ335" s="343"/>
      <c r="CR335" s="343"/>
      <c r="CS335" s="343"/>
      <c r="CT335" s="343"/>
      <c r="CU335" s="343"/>
      <c r="CV335" s="343"/>
      <c r="CW335" s="343"/>
      <c r="CX335" s="343"/>
      <c r="CY335" s="343"/>
    </row>
    <row r="336" spans="1:103" s="351" customFormat="1" ht="15.75" x14ac:dyDescent="0.25">
      <c r="A336" s="345" t="s">
        <v>252</v>
      </c>
      <c r="B336" s="474" t="s">
        <v>497</v>
      </c>
      <c r="C336" s="430">
        <f>+C337+C338+C339+C340</f>
        <v>176.39999999999998</v>
      </c>
      <c r="D336" s="455">
        <f>+D337+D338+D339+D340</f>
        <v>1400</v>
      </c>
      <c r="E336" s="274">
        <f>+E337+E338+E339+E340</f>
        <v>1675.92</v>
      </c>
      <c r="F336" s="455">
        <f>+F337+F338+F339+F340</f>
        <v>1350</v>
      </c>
      <c r="G336" s="292">
        <f t="shared" si="118"/>
        <v>1.037037037037037</v>
      </c>
      <c r="H336" s="489">
        <f>+F336/C336</f>
        <v>7.6530612244897966</v>
      </c>
      <c r="I336" s="349"/>
      <c r="J336" s="347">
        <f>+J337+J338+J339+J340</f>
        <v>1400</v>
      </c>
      <c r="K336" s="291"/>
      <c r="L336" s="291">
        <f t="shared" si="127"/>
        <v>1350</v>
      </c>
      <c r="M336" s="348">
        <f t="shared" si="131"/>
        <v>1.037037037037037</v>
      </c>
      <c r="N336" s="392"/>
      <c r="O336" s="430">
        <f>+O337+O338+O339+O340</f>
        <v>1400</v>
      </c>
      <c r="P336" s="455">
        <f>SUM(P337:P340)</f>
        <v>0</v>
      </c>
      <c r="Q336" s="455">
        <f>SUM(Q337:Q340)</f>
        <v>0</v>
      </c>
      <c r="R336" s="455">
        <f>SUM(R337:R340)</f>
        <v>0</v>
      </c>
      <c r="S336" s="455">
        <f>SUM(S337:S340)</f>
        <v>0</v>
      </c>
      <c r="T336" s="455">
        <f t="shared" ref="T336:AA336" si="141">SUM(T337:T340)</f>
        <v>0</v>
      </c>
      <c r="U336" s="455">
        <f t="shared" si="141"/>
        <v>0</v>
      </c>
      <c r="V336" s="455">
        <f t="shared" si="141"/>
        <v>0</v>
      </c>
      <c r="W336" s="350">
        <f t="shared" si="141"/>
        <v>0</v>
      </c>
      <c r="X336" s="349">
        <f t="shared" si="141"/>
        <v>1350</v>
      </c>
      <c r="Y336" s="455">
        <f t="shared" si="141"/>
        <v>0</v>
      </c>
      <c r="Z336" s="455">
        <f t="shared" si="141"/>
        <v>0</v>
      </c>
      <c r="AA336" s="455">
        <f t="shared" si="141"/>
        <v>0</v>
      </c>
      <c r="AB336" s="455">
        <f>SUM(AB337:AB340)</f>
        <v>0</v>
      </c>
      <c r="AC336" s="455">
        <f>SUM(AC337:AC340)</f>
        <v>0</v>
      </c>
      <c r="AD336" s="455">
        <f>SUM(AD337:AD340)</f>
        <v>0</v>
      </c>
      <c r="AE336" s="455">
        <f>SUM(AE337:AE340)</f>
        <v>0</v>
      </c>
      <c r="AF336" s="350">
        <f>SUM(AF337:AF340)</f>
        <v>0</v>
      </c>
      <c r="AG336" s="293"/>
      <c r="AH336" s="293"/>
      <c r="AI336" s="293"/>
      <c r="AJ336" s="293"/>
      <c r="AK336" s="293"/>
      <c r="AL336" s="293"/>
      <c r="AM336" s="293"/>
      <c r="AN336" s="293"/>
      <c r="AO336" s="293"/>
      <c r="AP336" s="293"/>
      <c r="AQ336" s="293"/>
      <c r="AR336" s="293"/>
      <c r="AS336" s="293"/>
      <c r="AT336" s="293"/>
      <c r="AU336" s="293"/>
      <c r="AV336" s="293"/>
      <c r="AW336" s="293"/>
      <c r="AX336" s="293"/>
      <c r="AY336" s="293"/>
      <c r="AZ336" s="293"/>
      <c r="BA336" s="293"/>
      <c r="BB336" s="293"/>
      <c r="BC336" s="293"/>
      <c r="BD336" s="293"/>
      <c r="BE336" s="293"/>
      <c r="BF336" s="293"/>
      <c r="BG336" s="293"/>
      <c r="BH336" s="293"/>
      <c r="BI336" s="293"/>
      <c r="BJ336" s="293"/>
      <c r="BK336" s="293"/>
      <c r="BL336" s="293"/>
      <c r="BM336" s="293"/>
      <c r="BN336" s="293"/>
      <c r="BO336" s="293"/>
      <c r="BP336" s="293"/>
      <c r="BQ336" s="293"/>
      <c r="BR336" s="293"/>
      <c r="BS336" s="293"/>
      <c r="BT336" s="293"/>
      <c r="BU336" s="293"/>
      <c r="BV336" s="293"/>
      <c r="BW336" s="293"/>
      <c r="BX336" s="293"/>
      <c r="BY336" s="293"/>
      <c r="BZ336" s="293"/>
      <c r="CA336" s="293"/>
      <c r="CB336" s="293"/>
      <c r="CC336" s="293"/>
      <c r="CD336" s="293"/>
      <c r="CE336" s="293"/>
      <c r="CF336" s="293"/>
      <c r="CG336" s="293"/>
      <c r="CH336" s="293"/>
      <c r="CI336" s="293"/>
      <c r="CJ336" s="293"/>
      <c r="CK336" s="293"/>
      <c r="CL336" s="293"/>
      <c r="CM336" s="293"/>
      <c r="CN336" s="293"/>
      <c r="CO336" s="293"/>
      <c r="CP336" s="293"/>
      <c r="CQ336" s="293"/>
      <c r="CR336" s="293"/>
      <c r="CS336" s="293"/>
      <c r="CT336" s="293"/>
      <c r="CU336" s="293"/>
      <c r="CV336" s="293"/>
      <c r="CW336" s="293"/>
      <c r="CX336" s="293"/>
      <c r="CY336" s="293"/>
    </row>
    <row r="337" spans="1:103" outlineLevel="1" x14ac:dyDescent="0.25">
      <c r="A337" s="352" t="s">
        <v>253</v>
      </c>
      <c r="B337" s="475" t="s">
        <v>97</v>
      </c>
      <c r="C337" s="431"/>
      <c r="D337" s="119">
        <f>+J337</f>
        <v>1000</v>
      </c>
      <c r="E337" s="119">
        <v>1675.92</v>
      </c>
      <c r="F337" s="119">
        <f>+L337</f>
        <v>1350</v>
      </c>
      <c r="G337" s="294">
        <f t="shared" si="118"/>
        <v>0.7407407407407407</v>
      </c>
      <c r="H337" s="490"/>
      <c r="I337" s="290"/>
      <c r="J337" s="119">
        <f t="shared" si="135"/>
        <v>1000</v>
      </c>
      <c r="K337" s="290"/>
      <c r="L337" s="290">
        <f t="shared" si="127"/>
        <v>1350</v>
      </c>
      <c r="M337" s="354">
        <f t="shared" si="131"/>
        <v>0.7407407407407407</v>
      </c>
      <c r="N337" s="353"/>
      <c r="O337" s="431">
        <v>1000</v>
      </c>
      <c r="P337" s="119"/>
      <c r="Q337" s="119"/>
      <c r="R337" s="119"/>
      <c r="S337" s="119"/>
      <c r="T337" s="119"/>
      <c r="U337" s="119"/>
      <c r="V337" s="119"/>
      <c r="W337" s="356"/>
      <c r="X337" s="290">
        <v>1350</v>
      </c>
      <c r="Y337" s="119"/>
      <c r="Z337" s="119"/>
      <c r="AA337" s="119"/>
      <c r="AB337" s="119"/>
      <c r="AC337" s="119"/>
      <c r="AD337" s="119"/>
      <c r="AE337" s="355"/>
      <c r="AF337" s="356"/>
    </row>
    <row r="338" spans="1:103" outlineLevel="1" x14ac:dyDescent="0.25">
      <c r="A338" s="352" t="s">
        <v>254</v>
      </c>
      <c r="B338" s="475" t="s">
        <v>96</v>
      </c>
      <c r="C338" s="431"/>
      <c r="D338" s="119">
        <f>+J338</f>
        <v>400</v>
      </c>
      <c r="E338" s="119">
        <v>0</v>
      </c>
      <c r="F338" s="119">
        <f>+L338</f>
        <v>0</v>
      </c>
      <c r="G338" s="294"/>
      <c r="H338" s="490"/>
      <c r="I338" s="290"/>
      <c r="J338" s="119">
        <f t="shared" si="135"/>
        <v>400</v>
      </c>
      <c r="K338" s="290"/>
      <c r="L338" s="290">
        <f t="shared" si="127"/>
        <v>0</v>
      </c>
      <c r="M338" s="354"/>
      <c r="N338" s="353"/>
      <c r="O338" s="431">
        <v>400</v>
      </c>
      <c r="P338" s="119"/>
      <c r="Q338" s="119"/>
      <c r="R338" s="119"/>
      <c r="S338" s="119"/>
      <c r="T338" s="119"/>
      <c r="U338" s="119"/>
      <c r="V338" s="119"/>
      <c r="W338" s="356"/>
      <c r="X338" s="290"/>
      <c r="Y338" s="119"/>
      <c r="Z338" s="119"/>
      <c r="AA338" s="119"/>
      <c r="AB338" s="119"/>
      <c r="AC338" s="119"/>
      <c r="AD338" s="119"/>
      <c r="AE338" s="355"/>
      <c r="AF338" s="356"/>
    </row>
    <row r="339" spans="1:103" outlineLevel="1" x14ac:dyDescent="0.25">
      <c r="A339" s="352" t="s">
        <v>255</v>
      </c>
      <c r="B339" s="475" t="s">
        <v>521</v>
      </c>
      <c r="C339" s="431">
        <v>27.36</v>
      </c>
      <c r="D339" s="119">
        <f>+J339</f>
        <v>0</v>
      </c>
      <c r="E339" s="119">
        <v>0</v>
      </c>
      <c r="F339" s="119">
        <f>+L339</f>
        <v>0</v>
      </c>
      <c r="G339" s="294"/>
      <c r="H339" s="490">
        <f t="shared" ref="H339:H346" si="142">+F339/C339</f>
        <v>0</v>
      </c>
      <c r="I339" s="290"/>
      <c r="J339" s="119">
        <f t="shared" si="135"/>
        <v>0</v>
      </c>
      <c r="K339" s="290"/>
      <c r="L339" s="290">
        <f t="shared" si="127"/>
        <v>0</v>
      </c>
      <c r="M339" s="354"/>
      <c r="N339" s="353"/>
      <c r="O339" s="431"/>
      <c r="P339" s="119"/>
      <c r="Q339" s="119"/>
      <c r="R339" s="119"/>
      <c r="S339" s="119"/>
      <c r="T339" s="119"/>
      <c r="U339" s="119"/>
      <c r="V339" s="119"/>
      <c r="W339" s="356"/>
      <c r="X339" s="290">
        <v>0</v>
      </c>
      <c r="Y339" s="119"/>
      <c r="Z339" s="119"/>
      <c r="AA339" s="119"/>
      <c r="AB339" s="119"/>
      <c r="AC339" s="119"/>
      <c r="AD339" s="119"/>
      <c r="AE339" s="355"/>
      <c r="AF339" s="356"/>
    </row>
    <row r="340" spans="1:103" outlineLevel="1" x14ac:dyDescent="0.25">
      <c r="A340" s="352" t="s">
        <v>256</v>
      </c>
      <c r="B340" s="475" t="s">
        <v>95</v>
      </c>
      <c r="C340" s="431">
        <v>149.04</v>
      </c>
      <c r="D340" s="119">
        <f>+J340</f>
        <v>0</v>
      </c>
      <c r="E340" s="119">
        <v>0</v>
      </c>
      <c r="F340" s="119">
        <f>+L340</f>
        <v>0</v>
      </c>
      <c r="G340" s="294"/>
      <c r="H340" s="490">
        <f t="shared" si="142"/>
        <v>0</v>
      </c>
      <c r="I340" s="290"/>
      <c r="J340" s="119">
        <f t="shared" si="135"/>
        <v>0</v>
      </c>
      <c r="K340" s="290"/>
      <c r="L340" s="290">
        <f t="shared" si="127"/>
        <v>0</v>
      </c>
      <c r="M340" s="354"/>
      <c r="N340" s="353"/>
      <c r="O340" s="431"/>
      <c r="P340" s="119"/>
      <c r="Q340" s="119"/>
      <c r="R340" s="119"/>
      <c r="S340" s="119"/>
      <c r="T340" s="119"/>
      <c r="U340" s="119"/>
      <c r="V340" s="119"/>
      <c r="W340" s="356"/>
      <c r="X340" s="290"/>
      <c r="Y340" s="119"/>
      <c r="Z340" s="119"/>
      <c r="AA340" s="119"/>
      <c r="AB340" s="119"/>
      <c r="AC340" s="119"/>
      <c r="AD340" s="119"/>
      <c r="AE340" s="355"/>
      <c r="AF340" s="356"/>
    </row>
    <row r="341" spans="1:103" s="351" customFormat="1" ht="15.75" x14ac:dyDescent="0.25">
      <c r="A341" s="345" t="s">
        <v>257</v>
      </c>
      <c r="B341" s="474" t="s">
        <v>498</v>
      </c>
      <c r="C341" s="430">
        <f>+C342+C343+C344</f>
        <v>3255.3300000000004</v>
      </c>
      <c r="D341" s="455">
        <f>+D342+D343+D344</f>
        <v>4305</v>
      </c>
      <c r="E341" s="274">
        <f>+E342+E343+E344</f>
        <v>4221.8099999999995</v>
      </c>
      <c r="F341" s="455">
        <f>+F342+F343+F344</f>
        <v>7150</v>
      </c>
      <c r="G341" s="292">
        <f t="shared" si="118"/>
        <v>0.60209790209790215</v>
      </c>
      <c r="H341" s="489">
        <f t="shared" si="142"/>
        <v>2.1963979074318116</v>
      </c>
      <c r="I341" s="349"/>
      <c r="J341" s="347">
        <f>+J342+J343+J344</f>
        <v>4305</v>
      </c>
      <c r="K341" s="291"/>
      <c r="L341" s="291">
        <f t="shared" si="127"/>
        <v>7150</v>
      </c>
      <c r="M341" s="348">
        <f t="shared" ref="M341:M346" si="143">+J341/L341</f>
        <v>0.60209790209790215</v>
      </c>
      <c r="N341" s="392"/>
      <c r="O341" s="430">
        <f>+O342+O343+O344</f>
        <v>4305</v>
      </c>
      <c r="P341" s="455">
        <f t="shared" ref="P341:AF341" si="144">SUM(P342:P344)</f>
        <v>0</v>
      </c>
      <c r="Q341" s="455">
        <f t="shared" si="144"/>
        <v>0</v>
      </c>
      <c r="R341" s="455">
        <f t="shared" si="144"/>
        <v>0</v>
      </c>
      <c r="S341" s="455">
        <f t="shared" si="144"/>
        <v>0</v>
      </c>
      <c r="T341" s="455">
        <f t="shared" si="144"/>
        <v>0</v>
      </c>
      <c r="U341" s="455">
        <f t="shared" si="144"/>
        <v>0</v>
      </c>
      <c r="V341" s="455">
        <f t="shared" si="144"/>
        <v>0</v>
      </c>
      <c r="W341" s="350">
        <f t="shared" si="144"/>
        <v>0</v>
      </c>
      <c r="X341" s="349">
        <f t="shared" si="144"/>
        <v>7150</v>
      </c>
      <c r="Y341" s="455">
        <f t="shared" si="144"/>
        <v>0</v>
      </c>
      <c r="Z341" s="455">
        <f t="shared" si="144"/>
        <v>0</v>
      </c>
      <c r="AA341" s="455">
        <f t="shared" si="144"/>
        <v>0</v>
      </c>
      <c r="AB341" s="455">
        <f t="shared" si="144"/>
        <v>0</v>
      </c>
      <c r="AC341" s="455">
        <f t="shared" si="144"/>
        <v>0</v>
      </c>
      <c r="AD341" s="455">
        <f t="shared" si="144"/>
        <v>0</v>
      </c>
      <c r="AE341" s="455">
        <f t="shared" si="144"/>
        <v>0</v>
      </c>
      <c r="AF341" s="350">
        <f t="shared" si="144"/>
        <v>0</v>
      </c>
      <c r="AG341" s="293"/>
      <c r="AH341" s="293"/>
      <c r="AI341" s="293"/>
      <c r="AJ341" s="293"/>
      <c r="AK341" s="293"/>
      <c r="AL341" s="293"/>
      <c r="AM341" s="293"/>
      <c r="AN341" s="293"/>
      <c r="AO341" s="293"/>
      <c r="AP341" s="293"/>
      <c r="AQ341" s="293"/>
      <c r="AR341" s="293"/>
      <c r="AS341" s="293"/>
      <c r="AT341" s="293"/>
      <c r="AU341" s="293"/>
      <c r="AV341" s="293"/>
      <c r="AW341" s="293"/>
      <c r="AX341" s="293"/>
      <c r="AY341" s="293"/>
      <c r="AZ341" s="293"/>
      <c r="BA341" s="293"/>
      <c r="BB341" s="293"/>
      <c r="BC341" s="293"/>
      <c r="BD341" s="293"/>
      <c r="BE341" s="293"/>
      <c r="BF341" s="293"/>
      <c r="BG341" s="293"/>
      <c r="BH341" s="293"/>
      <c r="BI341" s="293"/>
      <c r="BJ341" s="293"/>
      <c r="BK341" s="293"/>
      <c r="BL341" s="293"/>
      <c r="BM341" s="293"/>
      <c r="BN341" s="293"/>
      <c r="BO341" s="293"/>
      <c r="BP341" s="293"/>
      <c r="BQ341" s="293"/>
      <c r="BR341" s="293"/>
      <c r="BS341" s="293"/>
      <c r="BT341" s="293"/>
      <c r="BU341" s="293"/>
      <c r="BV341" s="293"/>
      <c r="BW341" s="293"/>
      <c r="BX341" s="293"/>
      <c r="BY341" s="293"/>
      <c r="BZ341" s="293"/>
      <c r="CA341" s="293"/>
      <c r="CB341" s="293"/>
      <c r="CC341" s="293"/>
      <c r="CD341" s="293"/>
      <c r="CE341" s="293"/>
      <c r="CF341" s="293"/>
      <c r="CG341" s="293"/>
      <c r="CH341" s="293"/>
      <c r="CI341" s="293"/>
      <c r="CJ341" s="293"/>
      <c r="CK341" s="293"/>
      <c r="CL341" s="293"/>
      <c r="CM341" s="293"/>
      <c r="CN341" s="293"/>
      <c r="CO341" s="293"/>
      <c r="CP341" s="293"/>
      <c r="CQ341" s="293"/>
      <c r="CR341" s="293"/>
      <c r="CS341" s="293"/>
      <c r="CT341" s="293"/>
      <c r="CU341" s="293"/>
      <c r="CV341" s="293"/>
      <c r="CW341" s="293"/>
      <c r="CX341" s="293"/>
      <c r="CY341" s="293"/>
    </row>
    <row r="342" spans="1:103" outlineLevel="1" x14ac:dyDescent="0.25">
      <c r="A342" s="352" t="s">
        <v>258</v>
      </c>
      <c r="B342" s="475" t="s">
        <v>499</v>
      </c>
      <c r="C342" s="431">
        <v>2788.8</v>
      </c>
      <c r="D342" s="119">
        <f>+J342</f>
        <v>4155</v>
      </c>
      <c r="E342" s="119">
        <v>4155.24</v>
      </c>
      <c r="F342" s="119">
        <f>+L342</f>
        <v>3000</v>
      </c>
      <c r="G342" s="294">
        <f t="shared" si="118"/>
        <v>1.385</v>
      </c>
      <c r="H342" s="490">
        <f t="shared" si="142"/>
        <v>1.0757314974182444</v>
      </c>
      <c r="I342" s="290"/>
      <c r="J342" s="119">
        <f t="shared" si="135"/>
        <v>4155</v>
      </c>
      <c r="K342" s="290"/>
      <c r="L342" s="290">
        <f t="shared" si="127"/>
        <v>3000</v>
      </c>
      <c r="M342" s="354">
        <f t="shared" si="143"/>
        <v>1.385</v>
      </c>
      <c r="N342" s="353"/>
      <c r="O342" s="431">
        <v>4155</v>
      </c>
      <c r="P342" s="119"/>
      <c r="Q342" s="119"/>
      <c r="R342" s="119"/>
      <c r="S342" s="119"/>
      <c r="T342" s="119"/>
      <c r="U342" s="119"/>
      <c r="V342" s="119"/>
      <c r="W342" s="356"/>
      <c r="X342" s="290">
        <v>3000</v>
      </c>
      <c r="Y342" s="119"/>
      <c r="Z342" s="119"/>
      <c r="AA342" s="119"/>
      <c r="AB342" s="119"/>
      <c r="AC342" s="119"/>
      <c r="AD342" s="119"/>
      <c r="AE342" s="355"/>
      <c r="AF342" s="356"/>
    </row>
    <row r="343" spans="1:103" outlineLevel="1" x14ac:dyDescent="0.25">
      <c r="A343" s="352" t="s">
        <v>259</v>
      </c>
      <c r="B343" s="475" t="s">
        <v>500</v>
      </c>
      <c r="C343" s="431">
        <v>165.96</v>
      </c>
      <c r="D343" s="119">
        <f>+J343</f>
        <v>150</v>
      </c>
      <c r="E343" s="119">
        <v>0</v>
      </c>
      <c r="F343" s="119">
        <f>+L343</f>
        <v>150</v>
      </c>
      <c r="G343" s="294">
        <f t="shared" si="118"/>
        <v>1</v>
      </c>
      <c r="H343" s="490">
        <f t="shared" si="142"/>
        <v>0.90383224873463486</v>
      </c>
      <c r="I343" s="290"/>
      <c r="J343" s="119">
        <f t="shared" si="135"/>
        <v>150</v>
      </c>
      <c r="K343" s="290"/>
      <c r="L343" s="290">
        <f t="shared" si="127"/>
        <v>150</v>
      </c>
      <c r="M343" s="354">
        <f t="shared" si="143"/>
        <v>1</v>
      </c>
      <c r="N343" s="353"/>
      <c r="O343" s="431">
        <f>+X343</f>
        <v>150</v>
      </c>
      <c r="P343" s="119"/>
      <c r="Q343" s="119"/>
      <c r="R343" s="119"/>
      <c r="S343" s="119"/>
      <c r="T343" s="119"/>
      <c r="U343" s="119"/>
      <c r="V343" s="119"/>
      <c r="W343" s="356"/>
      <c r="X343" s="290">
        <v>150</v>
      </c>
      <c r="Y343" s="119"/>
      <c r="Z343" s="119"/>
      <c r="AA343" s="119"/>
      <c r="AB343" s="119"/>
      <c r="AC343" s="119"/>
      <c r="AD343" s="119"/>
      <c r="AE343" s="355"/>
      <c r="AF343" s="356"/>
    </row>
    <row r="344" spans="1:103" outlineLevel="1" x14ac:dyDescent="0.25">
      <c r="A344" s="352" t="s">
        <v>1090</v>
      </c>
      <c r="B344" s="475" t="s">
        <v>47</v>
      </c>
      <c r="C344" s="431">
        <v>300.57</v>
      </c>
      <c r="D344" s="119">
        <f>+J344</f>
        <v>0</v>
      </c>
      <c r="E344" s="119">
        <v>66.569999999999993</v>
      </c>
      <c r="F344" s="119">
        <f>+L344</f>
        <v>4000</v>
      </c>
      <c r="G344" s="294">
        <f t="shared" si="118"/>
        <v>0</v>
      </c>
      <c r="H344" s="490">
        <f t="shared" si="142"/>
        <v>13.308048042053432</v>
      </c>
      <c r="I344" s="290"/>
      <c r="J344" s="119">
        <f t="shared" si="135"/>
        <v>0</v>
      </c>
      <c r="K344" s="290"/>
      <c r="L344" s="290">
        <f t="shared" si="127"/>
        <v>4000</v>
      </c>
      <c r="M344" s="354">
        <f t="shared" si="143"/>
        <v>0</v>
      </c>
      <c r="N344" s="353"/>
      <c r="O344" s="431"/>
      <c r="P344" s="119"/>
      <c r="Q344" s="119"/>
      <c r="R344" s="119"/>
      <c r="S344" s="119"/>
      <c r="T344" s="119"/>
      <c r="U344" s="119"/>
      <c r="V344" s="119"/>
      <c r="W344" s="356"/>
      <c r="X344" s="290">
        <f>5000-1000</f>
        <v>4000</v>
      </c>
      <c r="Y344" s="119"/>
      <c r="Z344" s="119"/>
      <c r="AA344" s="119"/>
      <c r="AB344" s="119"/>
      <c r="AC344" s="119"/>
      <c r="AD344" s="119"/>
      <c r="AE344" s="355"/>
      <c r="AF344" s="356"/>
    </row>
    <row r="345" spans="1:103" s="351" customFormat="1" ht="15.75" x14ac:dyDescent="0.25">
      <c r="A345" s="345" t="s">
        <v>590</v>
      </c>
      <c r="B345" s="474" t="s">
        <v>519</v>
      </c>
      <c r="C345" s="430">
        <f>+C346+C347</f>
        <v>271.88</v>
      </c>
      <c r="D345" s="455">
        <f>+D346+D347</f>
        <v>400</v>
      </c>
      <c r="E345" s="274">
        <f>+E346+E347</f>
        <v>81.36</v>
      </c>
      <c r="F345" s="455">
        <f>+F346+F347</f>
        <v>400</v>
      </c>
      <c r="G345" s="292">
        <f t="shared" si="118"/>
        <v>1</v>
      </c>
      <c r="H345" s="489">
        <f t="shared" si="142"/>
        <v>1.4712373105781962</v>
      </c>
      <c r="I345" s="349"/>
      <c r="J345" s="347">
        <f>+J346+J347</f>
        <v>400</v>
      </c>
      <c r="K345" s="291"/>
      <c r="L345" s="291">
        <f t="shared" si="127"/>
        <v>400</v>
      </c>
      <c r="M345" s="348">
        <f t="shared" si="143"/>
        <v>1</v>
      </c>
      <c r="N345" s="392"/>
      <c r="O345" s="430">
        <f>+O346+O347</f>
        <v>400</v>
      </c>
      <c r="P345" s="455">
        <f t="shared" ref="P345:AF345" si="145">SUM(P346:P347)</f>
        <v>0</v>
      </c>
      <c r="Q345" s="455">
        <f t="shared" si="145"/>
        <v>0</v>
      </c>
      <c r="R345" s="455">
        <f t="shared" si="145"/>
        <v>0</v>
      </c>
      <c r="S345" s="455">
        <f t="shared" si="145"/>
        <v>0</v>
      </c>
      <c r="T345" s="455">
        <f t="shared" si="145"/>
        <v>0</v>
      </c>
      <c r="U345" s="455">
        <f t="shared" si="145"/>
        <v>0</v>
      </c>
      <c r="V345" s="455">
        <f t="shared" si="145"/>
        <v>0</v>
      </c>
      <c r="W345" s="350">
        <f t="shared" si="145"/>
        <v>0</v>
      </c>
      <c r="X345" s="349">
        <f t="shared" si="145"/>
        <v>400</v>
      </c>
      <c r="Y345" s="455">
        <f t="shared" si="145"/>
        <v>0</v>
      </c>
      <c r="Z345" s="455">
        <f t="shared" si="145"/>
        <v>0</v>
      </c>
      <c r="AA345" s="455">
        <f t="shared" si="145"/>
        <v>0</v>
      </c>
      <c r="AB345" s="455">
        <f t="shared" si="145"/>
        <v>0</v>
      </c>
      <c r="AC345" s="455">
        <f t="shared" si="145"/>
        <v>0</v>
      </c>
      <c r="AD345" s="455">
        <f t="shared" si="145"/>
        <v>0</v>
      </c>
      <c r="AE345" s="455">
        <f t="shared" si="145"/>
        <v>0</v>
      </c>
      <c r="AF345" s="350">
        <f t="shared" si="145"/>
        <v>0</v>
      </c>
      <c r="AG345" s="293"/>
      <c r="AH345" s="293"/>
      <c r="AI345" s="293"/>
      <c r="AJ345" s="293"/>
      <c r="AK345" s="293"/>
      <c r="AL345" s="293"/>
      <c r="AM345" s="293"/>
      <c r="AN345" s="293"/>
      <c r="AO345" s="293"/>
      <c r="AP345" s="293"/>
      <c r="AQ345" s="293"/>
      <c r="AR345" s="293"/>
      <c r="AS345" s="293"/>
      <c r="AT345" s="293"/>
      <c r="AU345" s="293"/>
      <c r="AV345" s="293"/>
      <c r="AW345" s="293"/>
      <c r="AX345" s="293"/>
      <c r="AY345" s="293"/>
      <c r="AZ345" s="293"/>
      <c r="BA345" s="293"/>
      <c r="BB345" s="293"/>
      <c r="BC345" s="293"/>
      <c r="BD345" s="293"/>
      <c r="BE345" s="293"/>
      <c r="BF345" s="293"/>
      <c r="BG345" s="293"/>
      <c r="BH345" s="293"/>
      <c r="BI345" s="293"/>
      <c r="BJ345" s="293"/>
      <c r="BK345" s="293"/>
      <c r="BL345" s="293"/>
      <c r="BM345" s="293"/>
      <c r="BN345" s="293"/>
      <c r="BO345" s="293"/>
      <c r="BP345" s="293"/>
      <c r="BQ345" s="293"/>
      <c r="BR345" s="293"/>
      <c r="BS345" s="293"/>
      <c r="BT345" s="293"/>
      <c r="BU345" s="293"/>
      <c r="BV345" s="293"/>
      <c r="BW345" s="293"/>
      <c r="BX345" s="293"/>
      <c r="BY345" s="293"/>
      <c r="BZ345" s="293"/>
      <c r="CA345" s="293"/>
      <c r="CB345" s="293"/>
      <c r="CC345" s="293"/>
      <c r="CD345" s="293"/>
      <c r="CE345" s="293"/>
      <c r="CF345" s="293"/>
      <c r="CG345" s="293"/>
      <c r="CH345" s="293"/>
      <c r="CI345" s="293"/>
      <c r="CJ345" s="293"/>
      <c r="CK345" s="293"/>
      <c r="CL345" s="293"/>
      <c r="CM345" s="293"/>
      <c r="CN345" s="293"/>
      <c r="CO345" s="293"/>
      <c r="CP345" s="293"/>
      <c r="CQ345" s="293"/>
      <c r="CR345" s="293"/>
      <c r="CS345" s="293"/>
      <c r="CT345" s="293"/>
      <c r="CU345" s="293"/>
      <c r="CV345" s="293"/>
      <c r="CW345" s="293"/>
      <c r="CX345" s="293"/>
      <c r="CY345" s="293"/>
    </row>
    <row r="346" spans="1:103" outlineLevel="1" x14ac:dyDescent="0.25">
      <c r="A346" s="352" t="s">
        <v>262</v>
      </c>
      <c r="B346" s="475" t="s">
        <v>520</v>
      </c>
      <c r="C346" s="431">
        <v>271.88</v>
      </c>
      <c r="D346" s="119">
        <f>+J346</f>
        <v>400</v>
      </c>
      <c r="E346" s="110">
        <v>81.36</v>
      </c>
      <c r="F346" s="119">
        <f>+L346</f>
        <v>400</v>
      </c>
      <c r="G346" s="294">
        <f t="shared" si="118"/>
        <v>1</v>
      </c>
      <c r="H346" s="490">
        <f t="shared" si="142"/>
        <v>1.4712373105781962</v>
      </c>
      <c r="I346" s="290"/>
      <c r="J346" s="119">
        <f t="shared" si="135"/>
        <v>400</v>
      </c>
      <c r="K346" s="290"/>
      <c r="L346" s="290">
        <f t="shared" si="127"/>
        <v>400</v>
      </c>
      <c r="M346" s="354">
        <f t="shared" si="143"/>
        <v>1</v>
      </c>
      <c r="N346" s="353"/>
      <c r="O346" s="431">
        <f>+X346</f>
        <v>400</v>
      </c>
      <c r="P346" s="119"/>
      <c r="Q346" s="119"/>
      <c r="R346" s="119"/>
      <c r="S346" s="119"/>
      <c r="T346" s="119"/>
      <c r="U346" s="119"/>
      <c r="V346" s="119"/>
      <c r="W346" s="356"/>
      <c r="X346" s="290">
        <v>400</v>
      </c>
      <c r="Y346" s="119"/>
      <c r="Z346" s="119"/>
      <c r="AA346" s="119"/>
      <c r="AB346" s="119"/>
      <c r="AC346" s="119"/>
      <c r="AD346" s="119"/>
      <c r="AE346" s="355"/>
      <c r="AF346" s="356"/>
    </row>
    <row r="347" spans="1:103" outlineLevel="1" x14ac:dyDescent="0.25">
      <c r="A347" s="352" t="s">
        <v>1091</v>
      </c>
      <c r="B347" s="475" t="s">
        <v>903</v>
      </c>
      <c r="C347" s="431"/>
      <c r="D347" s="119"/>
      <c r="E347" s="110"/>
      <c r="F347" s="119"/>
      <c r="G347" s="294"/>
      <c r="H347" s="490"/>
      <c r="I347" s="290"/>
      <c r="J347" s="119">
        <f t="shared" si="135"/>
        <v>0</v>
      </c>
      <c r="K347" s="290"/>
      <c r="L347" s="290">
        <f t="shared" si="127"/>
        <v>0</v>
      </c>
      <c r="M347" s="354"/>
      <c r="N347" s="353"/>
      <c r="O347" s="431"/>
      <c r="P347" s="119"/>
      <c r="Q347" s="119"/>
      <c r="R347" s="119"/>
      <c r="S347" s="119"/>
      <c r="T347" s="119"/>
      <c r="U347" s="119"/>
      <c r="V347" s="119"/>
      <c r="W347" s="356"/>
      <c r="X347" s="290"/>
      <c r="Y347" s="119"/>
      <c r="Z347" s="119"/>
      <c r="AA347" s="119"/>
      <c r="AB347" s="119"/>
      <c r="AC347" s="119"/>
      <c r="AD347" s="119"/>
      <c r="AE347" s="355"/>
      <c r="AF347" s="356"/>
    </row>
    <row r="348" spans="1:103" s="351" customFormat="1" ht="15.75" x14ac:dyDescent="0.25">
      <c r="A348" s="345" t="s">
        <v>1092</v>
      </c>
      <c r="B348" s="474" t="s">
        <v>501</v>
      </c>
      <c r="C348" s="430">
        <f>+C349+C350+C351+C352+C353+C354</f>
        <v>14128.24</v>
      </c>
      <c r="D348" s="455">
        <f>+D349+D350+D351+D352+D353+D354</f>
        <v>15100</v>
      </c>
      <c r="E348" s="274">
        <f>+E349+E350+E351+E352+E353+E354</f>
        <v>14021.77</v>
      </c>
      <c r="F348" s="455">
        <f>+F349+F350+F351+F352+F353+F354</f>
        <v>15600</v>
      </c>
      <c r="G348" s="292">
        <f t="shared" si="118"/>
        <v>0.96794871794871795</v>
      </c>
      <c r="H348" s="489">
        <f t="shared" ref="H348:H355" si="146">+F348/C348</f>
        <v>1.1041715033153456</v>
      </c>
      <c r="I348" s="349"/>
      <c r="J348" s="347">
        <f>+J349+J350+J351+J352+J353+J354</f>
        <v>15100</v>
      </c>
      <c r="K348" s="291"/>
      <c r="L348" s="291">
        <f t="shared" si="127"/>
        <v>15600</v>
      </c>
      <c r="M348" s="348">
        <f t="shared" ref="M348:M363" si="147">+J348/L348</f>
        <v>0.96794871794871795</v>
      </c>
      <c r="N348" s="392"/>
      <c r="O348" s="430">
        <f>+O349+O350+O351+O352+O353+O354</f>
        <v>15100</v>
      </c>
      <c r="P348" s="455">
        <f t="shared" ref="P348:AF348" si="148">SUM(P349:P354)</f>
        <v>0</v>
      </c>
      <c r="Q348" s="455">
        <f t="shared" si="148"/>
        <v>0</v>
      </c>
      <c r="R348" s="455">
        <f t="shared" si="148"/>
        <v>0</v>
      </c>
      <c r="S348" s="455">
        <f t="shared" si="148"/>
        <v>0</v>
      </c>
      <c r="T348" s="455">
        <f t="shared" si="148"/>
        <v>0</v>
      </c>
      <c r="U348" s="455">
        <f t="shared" si="148"/>
        <v>0</v>
      </c>
      <c r="V348" s="455">
        <f t="shared" si="148"/>
        <v>0</v>
      </c>
      <c r="W348" s="350">
        <f t="shared" si="148"/>
        <v>0</v>
      </c>
      <c r="X348" s="349">
        <f t="shared" si="148"/>
        <v>15600</v>
      </c>
      <c r="Y348" s="455">
        <f t="shared" si="148"/>
        <v>0</v>
      </c>
      <c r="Z348" s="455">
        <f t="shared" si="148"/>
        <v>0</v>
      </c>
      <c r="AA348" s="455">
        <f t="shared" si="148"/>
        <v>0</v>
      </c>
      <c r="AB348" s="455">
        <f t="shared" si="148"/>
        <v>0</v>
      </c>
      <c r="AC348" s="455">
        <f t="shared" si="148"/>
        <v>0</v>
      </c>
      <c r="AD348" s="455">
        <f t="shared" si="148"/>
        <v>0</v>
      </c>
      <c r="AE348" s="455">
        <f t="shared" si="148"/>
        <v>0</v>
      </c>
      <c r="AF348" s="350">
        <f t="shared" si="148"/>
        <v>0</v>
      </c>
      <c r="AG348" s="293"/>
      <c r="AH348" s="293"/>
      <c r="AI348" s="293"/>
      <c r="AJ348" s="293"/>
      <c r="AK348" s="293"/>
      <c r="AL348" s="293"/>
      <c r="AM348" s="293"/>
      <c r="AN348" s="293"/>
      <c r="AO348" s="293"/>
      <c r="AP348" s="293"/>
      <c r="AQ348" s="293"/>
      <c r="AR348" s="293"/>
      <c r="AS348" s="293"/>
      <c r="AT348" s="293"/>
      <c r="AU348" s="293"/>
      <c r="AV348" s="293"/>
      <c r="AW348" s="293"/>
      <c r="AX348" s="293"/>
      <c r="AY348" s="293"/>
      <c r="AZ348" s="293"/>
      <c r="BA348" s="293"/>
      <c r="BB348" s="293"/>
      <c r="BC348" s="293"/>
      <c r="BD348" s="293"/>
      <c r="BE348" s="293"/>
      <c r="BF348" s="293"/>
      <c r="BG348" s="293"/>
      <c r="BH348" s="293"/>
      <c r="BI348" s="293"/>
      <c r="BJ348" s="293"/>
      <c r="BK348" s="293"/>
      <c r="BL348" s="293"/>
      <c r="BM348" s="293"/>
      <c r="BN348" s="293"/>
      <c r="BO348" s="293"/>
      <c r="BP348" s="293"/>
      <c r="BQ348" s="293"/>
      <c r="BR348" s="293"/>
      <c r="BS348" s="293"/>
      <c r="BT348" s="293"/>
      <c r="BU348" s="293"/>
      <c r="BV348" s="293"/>
      <c r="BW348" s="293"/>
      <c r="BX348" s="293"/>
      <c r="BY348" s="293"/>
      <c r="BZ348" s="293"/>
      <c r="CA348" s="293"/>
      <c r="CB348" s="293"/>
      <c r="CC348" s="293"/>
      <c r="CD348" s="293"/>
      <c r="CE348" s="293"/>
      <c r="CF348" s="293"/>
      <c r="CG348" s="293"/>
      <c r="CH348" s="293"/>
      <c r="CI348" s="293"/>
      <c r="CJ348" s="293"/>
      <c r="CK348" s="293"/>
      <c r="CL348" s="293"/>
      <c r="CM348" s="293"/>
      <c r="CN348" s="293"/>
      <c r="CO348" s="293"/>
      <c r="CP348" s="293"/>
      <c r="CQ348" s="293"/>
      <c r="CR348" s="293"/>
      <c r="CS348" s="293"/>
      <c r="CT348" s="293"/>
      <c r="CU348" s="293"/>
      <c r="CV348" s="293"/>
      <c r="CW348" s="293"/>
      <c r="CX348" s="293"/>
      <c r="CY348" s="293"/>
    </row>
    <row r="349" spans="1:103" outlineLevel="1" x14ac:dyDescent="0.25">
      <c r="A349" s="352" t="s">
        <v>274</v>
      </c>
      <c r="B349" s="475" t="s">
        <v>502</v>
      </c>
      <c r="C349" s="431">
        <v>2286.1799999999998</v>
      </c>
      <c r="D349" s="119">
        <f t="shared" ref="D349:D354" si="149">+J349</f>
        <v>2500</v>
      </c>
      <c r="E349" s="119">
        <v>2457</v>
      </c>
      <c r="F349" s="119">
        <f t="shared" ref="F349:F354" si="150">+L349</f>
        <v>2500</v>
      </c>
      <c r="G349" s="294">
        <f t="shared" si="118"/>
        <v>1</v>
      </c>
      <c r="H349" s="490">
        <f t="shared" si="146"/>
        <v>1.0935271938342563</v>
      </c>
      <c r="I349" s="290"/>
      <c r="J349" s="119">
        <f t="shared" si="135"/>
        <v>2500</v>
      </c>
      <c r="K349" s="290"/>
      <c r="L349" s="290">
        <f t="shared" si="127"/>
        <v>2500</v>
      </c>
      <c r="M349" s="354">
        <f t="shared" si="147"/>
        <v>1</v>
      </c>
      <c r="N349" s="353"/>
      <c r="O349" s="431">
        <f>+X349</f>
        <v>2500</v>
      </c>
      <c r="P349" s="119"/>
      <c r="Q349" s="119"/>
      <c r="R349" s="119"/>
      <c r="S349" s="119"/>
      <c r="T349" s="119"/>
      <c r="U349" s="119"/>
      <c r="V349" s="119"/>
      <c r="W349" s="356"/>
      <c r="X349" s="290">
        <v>2500</v>
      </c>
      <c r="Y349" s="119"/>
      <c r="Z349" s="119"/>
      <c r="AA349" s="119"/>
      <c r="AB349" s="119"/>
      <c r="AC349" s="119"/>
      <c r="AD349" s="119"/>
      <c r="AE349" s="355"/>
      <c r="AF349" s="356"/>
    </row>
    <row r="350" spans="1:103" outlineLevel="1" x14ac:dyDescent="0.25">
      <c r="A350" s="352" t="s">
        <v>275</v>
      </c>
      <c r="B350" s="475" t="s">
        <v>503</v>
      </c>
      <c r="C350" s="431">
        <v>4384.87</v>
      </c>
      <c r="D350" s="119">
        <f t="shared" si="149"/>
        <v>5400</v>
      </c>
      <c r="E350" s="119">
        <v>4386.72</v>
      </c>
      <c r="F350" s="119">
        <f t="shared" si="150"/>
        <v>5400</v>
      </c>
      <c r="G350" s="294">
        <f t="shared" si="118"/>
        <v>1</v>
      </c>
      <c r="H350" s="490">
        <f t="shared" si="146"/>
        <v>1.2315074335157028</v>
      </c>
      <c r="I350" s="290"/>
      <c r="J350" s="119">
        <f t="shared" si="135"/>
        <v>5400</v>
      </c>
      <c r="K350" s="290"/>
      <c r="L350" s="290">
        <f t="shared" si="127"/>
        <v>5400</v>
      </c>
      <c r="M350" s="354">
        <f t="shared" si="147"/>
        <v>1</v>
      </c>
      <c r="N350" s="353"/>
      <c r="O350" s="431">
        <f>+X350</f>
        <v>5400</v>
      </c>
      <c r="P350" s="119"/>
      <c r="Q350" s="119"/>
      <c r="R350" s="119"/>
      <c r="S350" s="119"/>
      <c r="T350" s="119"/>
      <c r="U350" s="119"/>
      <c r="V350" s="119"/>
      <c r="W350" s="356"/>
      <c r="X350" s="290">
        <f>6000-600</f>
        <v>5400</v>
      </c>
      <c r="Y350" s="119"/>
      <c r="Z350" s="119"/>
      <c r="AA350" s="119"/>
      <c r="AB350" s="119"/>
      <c r="AC350" s="119"/>
      <c r="AD350" s="119"/>
      <c r="AE350" s="355"/>
      <c r="AF350" s="356"/>
    </row>
    <row r="351" spans="1:103" outlineLevel="1" x14ac:dyDescent="0.25">
      <c r="A351" s="352" t="s">
        <v>276</v>
      </c>
      <c r="B351" s="475" t="s">
        <v>504</v>
      </c>
      <c r="C351" s="431">
        <f>5306.89-805.69</f>
        <v>4501.2000000000007</v>
      </c>
      <c r="D351" s="119">
        <f t="shared" si="149"/>
        <v>5400</v>
      </c>
      <c r="E351" s="119">
        <v>5701.04</v>
      </c>
      <c r="F351" s="119">
        <f t="shared" si="150"/>
        <v>5400</v>
      </c>
      <c r="G351" s="294">
        <f t="shared" si="118"/>
        <v>1</v>
      </c>
      <c r="H351" s="490">
        <f t="shared" si="146"/>
        <v>1.1996800853105836</v>
      </c>
      <c r="I351" s="290"/>
      <c r="J351" s="119">
        <f t="shared" si="135"/>
        <v>5400</v>
      </c>
      <c r="K351" s="290"/>
      <c r="L351" s="290">
        <f t="shared" si="127"/>
        <v>5400</v>
      </c>
      <c r="M351" s="354">
        <f t="shared" si="147"/>
        <v>1</v>
      </c>
      <c r="N351" s="353"/>
      <c r="O351" s="431">
        <f>+X351</f>
        <v>5400</v>
      </c>
      <c r="P351" s="119"/>
      <c r="Q351" s="119"/>
      <c r="R351" s="119"/>
      <c r="S351" s="119"/>
      <c r="T351" s="119"/>
      <c r="U351" s="119"/>
      <c r="V351" s="119"/>
      <c r="W351" s="356"/>
      <c r="X351" s="290">
        <f>6000-600</f>
        <v>5400</v>
      </c>
      <c r="Y351" s="119"/>
      <c r="Z351" s="119"/>
      <c r="AA351" s="119"/>
      <c r="AB351" s="119"/>
      <c r="AC351" s="119"/>
      <c r="AD351" s="119"/>
      <c r="AE351" s="355"/>
      <c r="AF351" s="356"/>
    </row>
    <row r="352" spans="1:103" outlineLevel="1" x14ac:dyDescent="0.25">
      <c r="A352" s="352" t="s">
        <v>277</v>
      </c>
      <c r="B352" s="475" t="s">
        <v>1197</v>
      </c>
      <c r="C352" s="431">
        <v>1200</v>
      </c>
      <c r="D352" s="119">
        <f t="shared" si="149"/>
        <v>800</v>
      </c>
      <c r="E352" s="119">
        <v>450</v>
      </c>
      <c r="F352" s="119">
        <f t="shared" si="150"/>
        <v>800</v>
      </c>
      <c r="G352" s="294">
        <f t="shared" ref="G352:G415" si="151">+D352/F352</f>
        <v>1</v>
      </c>
      <c r="H352" s="490">
        <f t="shared" si="146"/>
        <v>0.66666666666666663</v>
      </c>
      <c r="I352" s="290"/>
      <c r="J352" s="119">
        <f t="shared" si="135"/>
        <v>800</v>
      </c>
      <c r="K352" s="290"/>
      <c r="L352" s="290">
        <f t="shared" si="127"/>
        <v>800</v>
      </c>
      <c r="M352" s="354">
        <f t="shared" si="147"/>
        <v>1</v>
      </c>
      <c r="N352" s="353"/>
      <c r="O352" s="431">
        <f>+X352</f>
        <v>800</v>
      </c>
      <c r="P352" s="119"/>
      <c r="Q352" s="119"/>
      <c r="R352" s="119"/>
      <c r="S352" s="119"/>
      <c r="T352" s="119"/>
      <c r="U352" s="119"/>
      <c r="V352" s="119"/>
      <c r="W352" s="356"/>
      <c r="X352" s="290">
        <v>800</v>
      </c>
      <c r="Y352" s="119"/>
      <c r="Z352" s="119"/>
      <c r="AA352" s="119"/>
      <c r="AB352" s="119"/>
      <c r="AC352" s="119"/>
      <c r="AD352" s="119"/>
      <c r="AE352" s="355"/>
      <c r="AF352" s="356"/>
    </row>
    <row r="353" spans="1:103" outlineLevel="1" x14ac:dyDescent="0.25">
      <c r="A353" s="352" t="s">
        <v>1198</v>
      </c>
      <c r="B353" s="475" t="s">
        <v>1305</v>
      </c>
      <c r="C353" s="431">
        <v>855</v>
      </c>
      <c r="D353" s="119">
        <f t="shared" si="149"/>
        <v>500</v>
      </c>
      <c r="E353" s="119">
        <v>354.42</v>
      </c>
      <c r="F353" s="119">
        <f t="shared" si="150"/>
        <v>1000</v>
      </c>
      <c r="G353" s="294">
        <f t="shared" si="151"/>
        <v>0.5</v>
      </c>
      <c r="H353" s="490">
        <f t="shared" si="146"/>
        <v>1.1695906432748537</v>
      </c>
      <c r="I353" s="290"/>
      <c r="J353" s="119">
        <f t="shared" si="135"/>
        <v>500</v>
      </c>
      <c r="K353" s="290"/>
      <c r="L353" s="290">
        <f t="shared" si="127"/>
        <v>1000</v>
      </c>
      <c r="M353" s="354">
        <f t="shared" si="147"/>
        <v>0.5</v>
      </c>
      <c r="N353" s="353"/>
      <c r="O353" s="431">
        <v>500</v>
      </c>
      <c r="P353" s="119"/>
      <c r="Q353" s="119"/>
      <c r="R353" s="119"/>
      <c r="S353" s="119"/>
      <c r="T353" s="119"/>
      <c r="U353" s="119"/>
      <c r="V353" s="119"/>
      <c r="W353" s="356"/>
      <c r="X353" s="290">
        <v>1000</v>
      </c>
      <c r="Y353" s="119"/>
      <c r="Z353" s="119"/>
      <c r="AA353" s="119"/>
      <c r="AB353" s="119"/>
      <c r="AC353" s="119"/>
      <c r="AD353" s="119"/>
      <c r="AE353" s="355"/>
      <c r="AF353" s="356"/>
    </row>
    <row r="354" spans="1:103" outlineLevel="1" x14ac:dyDescent="0.25">
      <c r="A354" s="352" t="s">
        <v>1093</v>
      </c>
      <c r="B354" s="475" t="s">
        <v>903</v>
      </c>
      <c r="C354" s="431">
        <v>900.99</v>
      </c>
      <c r="D354" s="119">
        <f t="shared" si="149"/>
        <v>500</v>
      </c>
      <c r="E354" s="119">
        <v>672.59</v>
      </c>
      <c r="F354" s="119">
        <f t="shared" si="150"/>
        <v>500</v>
      </c>
      <c r="G354" s="294">
        <f t="shared" si="151"/>
        <v>1</v>
      </c>
      <c r="H354" s="490">
        <f t="shared" si="146"/>
        <v>0.55494511592803475</v>
      </c>
      <c r="I354" s="290"/>
      <c r="J354" s="119">
        <f t="shared" si="135"/>
        <v>500</v>
      </c>
      <c r="K354" s="290"/>
      <c r="L354" s="290">
        <f t="shared" si="127"/>
        <v>500</v>
      </c>
      <c r="M354" s="354">
        <f t="shared" si="147"/>
        <v>1</v>
      </c>
      <c r="N354" s="353"/>
      <c r="O354" s="431">
        <f>+X354</f>
        <v>500</v>
      </c>
      <c r="P354" s="119"/>
      <c r="Q354" s="119"/>
      <c r="R354" s="119"/>
      <c r="S354" s="119"/>
      <c r="T354" s="119"/>
      <c r="U354" s="119"/>
      <c r="V354" s="119"/>
      <c r="W354" s="356"/>
      <c r="X354" s="290">
        <v>500</v>
      </c>
      <c r="Y354" s="119"/>
      <c r="Z354" s="119"/>
      <c r="AA354" s="119"/>
      <c r="AB354" s="119"/>
      <c r="AC354" s="119"/>
      <c r="AD354" s="119"/>
      <c r="AE354" s="355"/>
      <c r="AF354" s="356"/>
    </row>
    <row r="355" spans="1:103" s="351" customFormat="1" ht="15.75" x14ac:dyDescent="0.25">
      <c r="A355" s="345" t="s">
        <v>1094</v>
      </c>
      <c r="B355" s="474" t="s">
        <v>515</v>
      </c>
      <c r="C355" s="430">
        <f>+C357+C358+C359+C361</f>
        <v>1160.1499999999999</v>
      </c>
      <c r="D355" s="455">
        <f>+D357+D358+D359+D361+D360</f>
        <v>6350</v>
      </c>
      <c r="E355" s="274">
        <f>+E357+E358+E359+E361+E360</f>
        <v>1516.91</v>
      </c>
      <c r="F355" s="455">
        <f>+F357+F358+F359+F361+F360</f>
        <v>7350</v>
      </c>
      <c r="G355" s="292">
        <f t="shared" si="151"/>
        <v>0.86394557823129248</v>
      </c>
      <c r="H355" s="489">
        <f t="shared" si="146"/>
        <v>6.3353876653880974</v>
      </c>
      <c r="I355" s="349"/>
      <c r="J355" s="347">
        <f>+J357+J358+J359+J360+J361</f>
        <v>6350</v>
      </c>
      <c r="K355" s="291"/>
      <c r="L355" s="291">
        <f t="shared" si="127"/>
        <v>7350</v>
      </c>
      <c r="M355" s="348">
        <f t="shared" si="147"/>
        <v>0.86394557823129248</v>
      </c>
      <c r="N355" s="392"/>
      <c r="O355" s="430">
        <f>+O357+O358+O359+O360+O361</f>
        <v>1850</v>
      </c>
      <c r="P355" s="455">
        <f t="shared" ref="P355:AF355" si="152">SUM(P357:P361)</f>
        <v>4500</v>
      </c>
      <c r="Q355" s="455">
        <f t="shared" si="152"/>
        <v>0</v>
      </c>
      <c r="R355" s="455">
        <f t="shared" si="152"/>
        <v>0</v>
      </c>
      <c r="S355" s="455">
        <f t="shared" si="152"/>
        <v>0</v>
      </c>
      <c r="T355" s="455">
        <f t="shared" si="152"/>
        <v>0</v>
      </c>
      <c r="U355" s="455">
        <f t="shared" si="152"/>
        <v>0</v>
      </c>
      <c r="V355" s="455">
        <f t="shared" si="152"/>
        <v>0</v>
      </c>
      <c r="W355" s="350">
        <f t="shared" si="152"/>
        <v>0</v>
      </c>
      <c r="X355" s="349">
        <f t="shared" si="152"/>
        <v>1850</v>
      </c>
      <c r="Y355" s="455">
        <f t="shared" si="152"/>
        <v>4500</v>
      </c>
      <c r="Z355" s="455">
        <f t="shared" si="152"/>
        <v>0</v>
      </c>
      <c r="AA355" s="455">
        <f t="shared" si="152"/>
        <v>0</v>
      </c>
      <c r="AB355" s="455">
        <f t="shared" si="152"/>
        <v>0</v>
      </c>
      <c r="AC355" s="455">
        <f t="shared" si="152"/>
        <v>0</v>
      </c>
      <c r="AD355" s="455">
        <f t="shared" si="152"/>
        <v>1000</v>
      </c>
      <c r="AE355" s="455">
        <f t="shared" si="152"/>
        <v>0</v>
      </c>
      <c r="AF355" s="350">
        <f t="shared" si="152"/>
        <v>0</v>
      </c>
      <c r="AG355" s="293"/>
      <c r="AH355" s="293"/>
      <c r="AI355" s="293"/>
      <c r="AJ355" s="293"/>
      <c r="AK355" s="293"/>
      <c r="AL355" s="293"/>
      <c r="AM355" s="293"/>
      <c r="AN355" s="293"/>
      <c r="AO355" s="293"/>
      <c r="AP355" s="293"/>
      <c r="AQ355" s="293"/>
      <c r="AR355" s="293"/>
      <c r="AS355" s="293"/>
      <c r="AT355" s="293"/>
      <c r="AU355" s="293"/>
      <c r="AV355" s="293"/>
      <c r="AW355" s="293"/>
      <c r="AX355" s="293"/>
      <c r="AY355" s="293"/>
      <c r="AZ355" s="293"/>
      <c r="BA355" s="293"/>
      <c r="BB355" s="293"/>
      <c r="BC355" s="293"/>
      <c r="BD355" s="293"/>
      <c r="BE355" s="293"/>
      <c r="BF355" s="293"/>
      <c r="BG355" s="293"/>
      <c r="BH355" s="293"/>
      <c r="BI355" s="293"/>
      <c r="BJ355" s="293"/>
      <c r="BK355" s="293"/>
      <c r="BL355" s="293"/>
      <c r="BM355" s="293"/>
      <c r="BN355" s="293"/>
      <c r="BO355" s="293"/>
      <c r="BP355" s="293"/>
      <c r="BQ355" s="293"/>
      <c r="BR355" s="293"/>
      <c r="BS355" s="293"/>
      <c r="BT355" s="293"/>
      <c r="BU355" s="293"/>
      <c r="BV355" s="293"/>
      <c r="BW355" s="293"/>
      <c r="BX355" s="293"/>
      <c r="BY355" s="293"/>
      <c r="BZ355" s="293"/>
      <c r="CA355" s="293"/>
      <c r="CB355" s="293"/>
      <c r="CC355" s="293"/>
      <c r="CD355" s="293"/>
      <c r="CE355" s="293"/>
      <c r="CF355" s="293"/>
      <c r="CG355" s="293"/>
      <c r="CH355" s="293"/>
      <c r="CI355" s="293"/>
      <c r="CJ355" s="293"/>
      <c r="CK355" s="293"/>
      <c r="CL355" s="293"/>
      <c r="CM355" s="293"/>
      <c r="CN355" s="293"/>
      <c r="CO355" s="293"/>
      <c r="CP355" s="293"/>
      <c r="CQ355" s="293"/>
      <c r="CR355" s="293"/>
      <c r="CS355" s="293"/>
      <c r="CT355" s="293"/>
      <c r="CU355" s="293"/>
      <c r="CV355" s="293"/>
      <c r="CW355" s="293"/>
      <c r="CX355" s="293"/>
      <c r="CY355" s="293"/>
    </row>
    <row r="356" spans="1:103" s="351" customFormat="1" ht="15.75" x14ac:dyDescent="0.25">
      <c r="A356" s="398"/>
      <c r="B356" s="482" t="s">
        <v>1341</v>
      </c>
      <c r="C356" s="435"/>
      <c r="D356" s="399"/>
      <c r="E356" s="504"/>
      <c r="F356" s="399"/>
      <c r="G356" s="400"/>
      <c r="H356" s="493"/>
      <c r="I356" s="404"/>
      <c r="J356" s="401">
        <v>4553.3999999999996</v>
      </c>
      <c r="K356" s="402"/>
      <c r="L356" s="402">
        <f>+J356</f>
        <v>4553.3999999999996</v>
      </c>
      <c r="M356" s="403">
        <f t="shared" si="147"/>
        <v>1</v>
      </c>
      <c r="N356" s="439"/>
      <c r="O356" s="435">
        <f>+X356</f>
        <v>0</v>
      </c>
      <c r="P356" s="399"/>
      <c r="Q356" s="399"/>
      <c r="R356" s="399"/>
      <c r="S356" s="399"/>
      <c r="T356" s="399"/>
      <c r="U356" s="399"/>
      <c r="V356" s="399"/>
      <c r="W356" s="406"/>
      <c r="X356" s="404"/>
      <c r="Y356" s="399"/>
      <c r="Z356" s="399"/>
      <c r="AA356" s="399"/>
      <c r="AB356" s="399"/>
      <c r="AC356" s="399"/>
      <c r="AD356" s="399"/>
      <c r="AE356" s="405"/>
      <c r="AF356" s="406"/>
      <c r="AG356" s="293"/>
      <c r="AH356" s="293"/>
      <c r="AI356" s="293"/>
      <c r="AJ356" s="293"/>
      <c r="AK356" s="293"/>
      <c r="AL356" s="293"/>
      <c r="AM356" s="293"/>
      <c r="AN356" s="293"/>
      <c r="AO356" s="293"/>
      <c r="AP356" s="293"/>
      <c r="AQ356" s="293"/>
      <c r="AR356" s="293"/>
      <c r="AS356" s="293"/>
      <c r="AT356" s="293"/>
      <c r="AU356" s="293"/>
      <c r="AV356" s="293"/>
      <c r="AW356" s="293"/>
      <c r="AX356" s="293"/>
      <c r="AY356" s="293"/>
      <c r="AZ356" s="293"/>
      <c r="BA356" s="293"/>
      <c r="BB356" s="293"/>
      <c r="BC356" s="293"/>
      <c r="BD356" s="293"/>
      <c r="BE356" s="293"/>
      <c r="BF356" s="293"/>
      <c r="BG356" s="293"/>
      <c r="BH356" s="293"/>
      <c r="BI356" s="293"/>
      <c r="BJ356" s="293"/>
      <c r="BK356" s="293"/>
      <c r="BL356" s="293"/>
      <c r="BM356" s="293"/>
      <c r="BN356" s="293"/>
      <c r="BO356" s="293"/>
      <c r="BP356" s="293"/>
      <c r="BQ356" s="293"/>
      <c r="BR356" s="293"/>
      <c r="BS356" s="293"/>
      <c r="BT356" s="293"/>
      <c r="BU356" s="293"/>
      <c r="BV356" s="293"/>
      <c r="BW356" s="293"/>
      <c r="BX356" s="293"/>
      <c r="BY356" s="293"/>
      <c r="BZ356" s="293"/>
      <c r="CA356" s="293"/>
      <c r="CB356" s="293"/>
      <c r="CC356" s="293"/>
      <c r="CD356" s="293"/>
      <c r="CE356" s="293"/>
      <c r="CF356" s="293"/>
      <c r="CG356" s="293"/>
      <c r="CH356" s="293"/>
      <c r="CI356" s="293"/>
      <c r="CJ356" s="293"/>
      <c r="CK356" s="293"/>
      <c r="CL356" s="293"/>
      <c r="CM356" s="293"/>
      <c r="CN356" s="293"/>
      <c r="CO356" s="293"/>
      <c r="CP356" s="293"/>
      <c r="CQ356" s="293"/>
      <c r="CR356" s="293"/>
      <c r="CS356" s="293"/>
      <c r="CT356" s="293"/>
      <c r="CU356" s="293"/>
      <c r="CV356" s="293"/>
      <c r="CW356" s="293"/>
      <c r="CX356" s="293"/>
      <c r="CY356" s="293"/>
    </row>
    <row r="357" spans="1:103" outlineLevel="1" x14ac:dyDescent="0.25">
      <c r="A357" s="352" t="s">
        <v>278</v>
      </c>
      <c r="B357" s="475" t="s">
        <v>516</v>
      </c>
      <c r="C357" s="431">
        <v>87.84</v>
      </c>
      <c r="D357" s="119">
        <f>+J357</f>
        <v>350</v>
      </c>
      <c r="E357" s="119">
        <v>167.76</v>
      </c>
      <c r="F357" s="119">
        <f>+L357</f>
        <v>350</v>
      </c>
      <c r="G357" s="294">
        <f t="shared" si="151"/>
        <v>1</v>
      </c>
      <c r="H357" s="490">
        <f>+F357/C357</f>
        <v>3.9845173041894353</v>
      </c>
      <c r="I357" s="290"/>
      <c r="J357" s="119">
        <f t="shared" si="135"/>
        <v>350</v>
      </c>
      <c r="K357" s="290"/>
      <c r="L357" s="290">
        <f t="shared" si="127"/>
        <v>350</v>
      </c>
      <c r="M357" s="354">
        <f t="shared" si="147"/>
        <v>1</v>
      </c>
      <c r="N357" s="353"/>
      <c r="O357" s="431">
        <f>+X357</f>
        <v>350</v>
      </c>
      <c r="P357" s="119"/>
      <c r="Q357" s="119"/>
      <c r="R357" s="119"/>
      <c r="S357" s="119"/>
      <c r="T357" s="119"/>
      <c r="U357" s="119"/>
      <c r="V357" s="119"/>
      <c r="W357" s="356"/>
      <c r="X357" s="290">
        <f>600-250</f>
        <v>350</v>
      </c>
      <c r="Y357" s="119"/>
      <c r="Z357" s="119"/>
      <c r="AA357" s="119"/>
      <c r="AB357" s="119"/>
      <c r="AC357" s="119"/>
      <c r="AD357" s="119"/>
      <c r="AE357" s="355"/>
      <c r="AF357" s="356"/>
    </row>
    <row r="358" spans="1:103" outlineLevel="1" x14ac:dyDescent="0.25">
      <c r="A358" s="352" t="s">
        <v>279</v>
      </c>
      <c r="B358" s="475" t="s">
        <v>997</v>
      </c>
      <c r="C358" s="431"/>
      <c r="D358" s="119">
        <f>+J358</f>
        <v>4500</v>
      </c>
      <c r="E358" s="119">
        <v>0</v>
      </c>
      <c r="F358" s="119">
        <f>+L358</f>
        <v>4500</v>
      </c>
      <c r="G358" s="294">
        <f t="shared" si="151"/>
        <v>1</v>
      </c>
      <c r="H358" s="490"/>
      <c r="I358" s="290"/>
      <c r="J358" s="119">
        <f t="shared" si="135"/>
        <v>4500</v>
      </c>
      <c r="K358" s="290"/>
      <c r="L358" s="290">
        <f t="shared" si="127"/>
        <v>4500</v>
      </c>
      <c r="M358" s="354">
        <f t="shared" si="147"/>
        <v>1</v>
      </c>
      <c r="N358" s="353"/>
      <c r="O358" s="431"/>
      <c r="P358" s="119">
        <v>4500</v>
      </c>
      <c r="Q358" s="119"/>
      <c r="R358" s="119"/>
      <c r="S358" s="119"/>
      <c r="T358" s="119"/>
      <c r="U358" s="119"/>
      <c r="V358" s="119"/>
      <c r="W358" s="356"/>
      <c r="X358" s="290"/>
      <c r="Y358" s="119">
        <v>4500</v>
      </c>
      <c r="Z358" s="119"/>
      <c r="AA358" s="119"/>
      <c r="AB358" s="119"/>
      <c r="AC358" s="119"/>
      <c r="AD358" s="119"/>
      <c r="AE358" s="355"/>
      <c r="AF358" s="356"/>
    </row>
    <row r="359" spans="1:103" outlineLevel="1" x14ac:dyDescent="0.25">
      <c r="A359" s="352" t="s">
        <v>1003</v>
      </c>
      <c r="B359" s="475" t="s">
        <v>691</v>
      </c>
      <c r="C359" s="431">
        <v>1072.31</v>
      </c>
      <c r="D359" s="119">
        <f>+J359</f>
        <v>1250</v>
      </c>
      <c r="E359" s="119">
        <v>1349.15</v>
      </c>
      <c r="F359" s="119">
        <f>+L359</f>
        <v>1250</v>
      </c>
      <c r="G359" s="294">
        <f t="shared" si="151"/>
        <v>1</v>
      </c>
      <c r="H359" s="490">
        <f>+F359/C359</f>
        <v>1.1657076778170492</v>
      </c>
      <c r="I359" s="290"/>
      <c r="J359" s="119">
        <f t="shared" si="135"/>
        <v>1250</v>
      </c>
      <c r="K359" s="290"/>
      <c r="L359" s="290">
        <f t="shared" si="127"/>
        <v>1250</v>
      </c>
      <c r="M359" s="354">
        <f t="shared" si="147"/>
        <v>1</v>
      </c>
      <c r="N359" s="353"/>
      <c r="O359" s="431">
        <f>+X359</f>
        <v>1250</v>
      </c>
      <c r="P359" s="119"/>
      <c r="Q359" s="119"/>
      <c r="R359" s="119"/>
      <c r="S359" s="119"/>
      <c r="T359" s="119"/>
      <c r="U359" s="119"/>
      <c r="V359" s="119"/>
      <c r="W359" s="356"/>
      <c r="X359" s="290">
        <f>1000+250</f>
        <v>1250</v>
      </c>
      <c r="Y359" s="119"/>
      <c r="Z359" s="119"/>
      <c r="AA359" s="119"/>
      <c r="AB359" s="119"/>
      <c r="AC359" s="119"/>
      <c r="AD359" s="119"/>
      <c r="AE359" s="355"/>
      <c r="AF359" s="356"/>
    </row>
    <row r="360" spans="1:103" outlineLevel="1" x14ac:dyDescent="0.25">
      <c r="A360" s="352" t="s">
        <v>1358</v>
      </c>
      <c r="B360" s="475" t="s">
        <v>1359</v>
      </c>
      <c r="C360" s="431"/>
      <c r="D360" s="119">
        <f>+J360</f>
        <v>0</v>
      </c>
      <c r="E360" s="119">
        <v>0</v>
      </c>
      <c r="F360" s="119">
        <v>1000</v>
      </c>
      <c r="G360" s="294">
        <f t="shared" si="151"/>
        <v>0</v>
      </c>
      <c r="H360" s="490"/>
      <c r="I360" s="290"/>
      <c r="J360" s="119">
        <f t="shared" si="135"/>
        <v>0</v>
      </c>
      <c r="K360" s="290"/>
      <c r="L360" s="290">
        <f t="shared" si="127"/>
        <v>1000</v>
      </c>
      <c r="M360" s="354">
        <f t="shared" si="147"/>
        <v>0</v>
      </c>
      <c r="N360" s="353"/>
      <c r="O360" s="431"/>
      <c r="P360" s="119"/>
      <c r="Q360" s="119"/>
      <c r="R360" s="119"/>
      <c r="S360" s="119"/>
      <c r="T360" s="119"/>
      <c r="U360" s="119"/>
      <c r="V360" s="119"/>
      <c r="W360" s="356"/>
      <c r="X360" s="290"/>
      <c r="Y360" s="119">
        <v>0</v>
      </c>
      <c r="Z360" s="119"/>
      <c r="AA360" s="119"/>
      <c r="AB360" s="119"/>
      <c r="AC360" s="119"/>
      <c r="AD360" s="119">
        <v>1000</v>
      </c>
      <c r="AE360" s="355"/>
      <c r="AF360" s="356"/>
    </row>
    <row r="361" spans="1:103" outlineLevel="1" x14ac:dyDescent="0.25">
      <c r="A361" s="352" t="s">
        <v>1095</v>
      </c>
      <c r="B361" s="475" t="s">
        <v>903</v>
      </c>
      <c r="C361" s="431"/>
      <c r="D361" s="119">
        <v>250</v>
      </c>
      <c r="E361" s="119">
        <v>0</v>
      </c>
      <c r="F361" s="119">
        <f>+L361</f>
        <v>250</v>
      </c>
      <c r="G361" s="294">
        <f t="shared" si="151"/>
        <v>1</v>
      </c>
      <c r="H361" s="490"/>
      <c r="I361" s="290"/>
      <c r="J361" s="119">
        <f t="shared" si="135"/>
        <v>250</v>
      </c>
      <c r="K361" s="290"/>
      <c r="L361" s="290">
        <f t="shared" si="127"/>
        <v>250</v>
      </c>
      <c r="M361" s="354">
        <f t="shared" si="147"/>
        <v>1</v>
      </c>
      <c r="N361" s="353"/>
      <c r="O361" s="431">
        <f>+X361</f>
        <v>250</v>
      </c>
      <c r="P361" s="119"/>
      <c r="Q361" s="119"/>
      <c r="R361" s="119"/>
      <c r="S361" s="119"/>
      <c r="T361" s="119"/>
      <c r="U361" s="119"/>
      <c r="V361" s="119"/>
      <c r="W361" s="356"/>
      <c r="X361" s="290">
        <v>250</v>
      </c>
      <c r="Y361" s="119"/>
      <c r="Z361" s="119"/>
      <c r="AA361" s="119"/>
      <c r="AB361" s="119"/>
      <c r="AC361" s="119"/>
      <c r="AD361" s="119"/>
      <c r="AE361" s="355"/>
      <c r="AF361" s="356"/>
    </row>
    <row r="362" spans="1:103" s="351" customFormat="1" ht="15.75" x14ac:dyDescent="0.25">
      <c r="A362" s="345" t="s">
        <v>593</v>
      </c>
      <c r="B362" s="474" t="s">
        <v>505</v>
      </c>
      <c r="C362" s="430">
        <f>+C363+C364</f>
        <v>271.8</v>
      </c>
      <c r="D362" s="455">
        <f>+D363+D364</f>
        <v>600</v>
      </c>
      <c r="E362" s="274">
        <f>+E363+E364</f>
        <v>321.12</v>
      </c>
      <c r="F362" s="455">
        <f>+F363+F364</f>
        <v>600</v>
      </c>
      <c r="G362" s="292">
        <f t="shared" si="151"/>
        <v>1</v>
      </c>
      <c r="H362" s="489">
        <f>+F362/C362</f>
        <v>2.2075055187637966</v>
      </c>
      <c r="I362" s="349"/>
      <c r="J362" s="347">
        <f>+J363+J364</f>
        <v>600</v>
      </c>
      <c r="K362" s="291"/>
      <c r="L362" s="291">
        <f t="shared" si="127"/>
        <v>600</v>
      </c>
      <c r="M362" s="348">
        <f t="shared" si="147"/>
        <v>1</v>
      </c>
      <c r="N362" s="392"/>
      <c r="O362" s="430">
        <f>+O363+O364</f>
        <v>600</v>
      </c>
      <c r="P362" s="455">
        <f t="shared" ref="P362:AB362" si="153">SUM(P363:P364)</f>
        <v>0</v>
      </c>
      <c r="Q362" s="455">
        <f t="shared" si="153"/>
        <v>0</v>
      </c>
      <c r="R362" s="455">
        <f t="shared" si="153"/>
        <v>0</v>
      </c>
      <c r="S362" s="455">
        <f t="shared" si="153"/>
        <v>0</v>
      </c>
      <c r="T362" s="455">
        <f t="shared" si="153"/>
        <v>0</v>
      </c>
      <c r="U362" s="455">
        <f t="shared" si="153"/>
        <v>0</v>
      </c>
      <c r="V362" s="455">
        <f t="shared" si="153"/>
        <v>0</v>
      </c>
      <c r="W362" s="350">
        <f t="shared" si="153"/>
        <v>0</v>
      </c>
      <c r="X362" s="349">
        <f t="shared" si="153"/>
        <v>600</v>
      </c>
      <c r="Y362" s="455">
        <f t="shared" si="153"/>
        <v>0</v>
      </c>
      <c r="Z362" s="455">
        <f t="shared" si="153"/>
        <v>0</v>
      </c>
      <c r="AA362" s="455">
        <f t="shared" si="153"/>
        <v>0</v>
      </c>
      <c r="AB362" s="455">
        <f t="shared" si="153"/>
        <v>0</v>
      </c>
      <c r="AC362" s="455">
        <f>SUM(AC363:AC364)</f>
        <v>0</v>
      </c>
      <c r="AD362" s="455">
        <f>SUM(AD363:AD364)</f>
        <v>0</v>
      </c>
      <c r="AE362" s="455">
        <f>SUM(AE363:AE364)</f>
        <v>0</v>
      </c>
      <c r="AF362" s="350">
        <f>SUM(AF363:AF364)</f>
        <v>0</v>
      </c>
      <c r="AG362" s="293"/>
      <c r="AH362" s="293"/>
      <c r="AI362" s="293"/>
      <c r="AJ362" s="293"/>
      <c r="AK362" s="293"/>
      <c r="AL362" s="293"/>
      <c r="AM362" s="293"/>
      <c r="AN362" s="293"/>
      <c r="AO362" s="293"/>
      <c r="AP362" s="293"/>
      <c r="AQ362" s="293"/>
      <c r="AR362" s="293"/>
      <c r="AS362" s="293"/>
      <c r="AT362" s="293"/>
      <c r="AU362" s="293"/>
      <c r="AV362" s="293"/>
      <c r="AW362" s="293"/>
      <c r="AX362" s="293"/>
      <c r="AY362" s="293"/>
      <c r="AZ362" s="293"/>
      <c r="BA362" s="293"/>
      <c r="BB362" s="293"/>
      <c r="BC362" s="293"/>
      <c r="BD362" s="293"/>
      <c r="BE362" s="293"/>
      <c r="BF362" s="293"/>
      <c r="BG362" s="293"/>
      <c r="BH362" s="293"/>
      <c r="BI362" s="293"/>
      <c r="BJ362" s="293"/>
      <c r="BK362" s="293"/>
      <c r="BL362" s="293"/>
      <c r="BM362" s="293"/>
      <c r="BN362" s="293"/>
      <c r="BO362" s="293"/>
      <c r="BP362" s="293"/>
      <c r="BQ362" s="293"/>
      <c r="BR362" s="293"/>
      <c r="BS362" s="293"/>
      <c r="BT362" s="293"/>
      <c r="BU362" s="293"/>
      <c r="BV362" s="293"/>
      <c r="BW362" s="293"/>
      <c r="BX362" s="293"/>
      <c r="BY362" s="293"/>
      <c r="BZ362" s="293"/>
      <c r="CA362" s="293"/>
      <c r="CB362" s="293"/>
      <c r="CC362" s="293"/>
      <c r="CD362" s="293"/>
      <c r="CE362" s="293"/>
      <c r="CF362" s="293"/>
      <c r="CG362" s="293"/>
      <c r="CH362" s="293"/>
      <c r="CI362" s="293"/>
      <c r="CJ362" s="293"/>
      <c r="CK362" s="293"/>
      <c r="CL362" s="293"/>
      <c r="CM362" s="293"/>
      <c r="CN362" s="293"/>
      <c r="CO362" s="293"/>
      <c r="CP362" s="293"/>
      <c r="CQ362" s="293"/>
      <c r="CR362" s="293"/>
      <c r="CS362" s="293"/>
      <c r="CT362" s="293"/>
      <c r="CU362" s="293"/>
      <c r="CV362" s="293"/>
      <c r="CW362" s="293"/>
      <c r="CX362" s="293"/>
      <c r="CY362" s="293"/>
    </row>
    <row r="363" spans="1:103" outlineLevel="1" x14ac:dyDescent="0.25">
      <c r="A363" s="352" t="s">
        <v>594</v>
      </c>
      <c r="B363" s="475" t="s">
        <v>506</v>
      </c>
      <c r="C363" s="431">
        <v>212.4</v>
      </c>
      <c r="D363" s="119">
        <f>+J363</f>
        <v>600</v>
      </c>
      <c r="E363" s="110">
        <v>269.64</v>
      </c>
      <c r="F363" s="119">
        <f>+L363</f>
        <v>600</v>
      </c>
      <c r="G363" s="294">
        <f t="shared" si="151"/>
        <v>1</v>
      </c>
      <c r="H363" s="490">
        <f>+F363/C363</f>
        <v>2.8248587570621466</v>
      </c>
      <c r="I363" s="290"/>
      <c r="J363" s="119">
        <f t="shared" si="135"/>
        <v>600</v>
      </c>
      <c r="K363" s="290"/>
      <c r="L363" s="290">
        <f t="shared" si="127"/>
        <v>600</v>
      </c>
      <c r="M363" s="354">
        <f t="shared" si="147"/>
        <v>1</v>
      </c>
      <c r="N363" s="353"/>
      <c r="O363" s="431">
        <f>+X363</f>
        <v>600</v>
      </c>
      <c r="P363" s="119"/>
      <c r="Q363" s="119"/>
      <c r="R363" s="119"/>
      <c r="S363" s="119"/>
      <c r="T363" s="119"/>
      <c r="U363" s="119"/>
      <c r="V363" s="119"/>
      <c r="W363" s="356"/>
      <c r="X363" s="290">
        <v>600</v>
      </c>
      <c r="Y363" s="119"/>
      <c r="Z363" s="119"/>
      <c r="AA363" s="119"/>
      <c r="AB363" s="119"/>
      <c r="AC363" s="119"/>
      <c r="AD363" s="119"/>
      <c r="AE363" s="355"/>
      <c r="AF363" s="356"/>
    </row>
    <row r="364" spans="1:103" outlineLevel="1" x14ac:dyDescent="0.25">
      <c r="A364" s="352" t="s">
        <v>1096</v>
      </c>
      <c r="B364" s="475" t="s">
        <v>903</v>
      </c>
      <c r="C364" s="431">
        <v>59.4</v>
      </c>
      <c r="D364" s="119">
        <f>+J364</f>
        <v>0</v>
      </c>
      <c r="E364" s="110">
        <v>51.48</v>
      </c>
      <c r="F364" s="119">
        <f>+L364</f>
        <v>0</v>
      </c>
      <c r="G364" s="294"/>
      <c r="H364" s="490">
        <f>+F364/C364</f>
        <v>0</v>
      </c>
      <c r="I364" s="290"/>
      <c r="J364" s="119">
        <f t="shared" si="135"/>
        <v>0</v>
      </c>
      <c r="K364" s="290"/>
      <c r="L364" s="290">
        <f t="shared" si="127"/>
        <v>0</v>
      </c>
      <c r="M364" s="354"/>
      <c r="N364" s="353"/>
      <c r="O364" s="431"/>
      <c r="P364" s="119"/>
      <c r="Q364" s="119"/>
      <c r="R364" s="119"/>
      <c r="S364" s="119"/>
      <c r="T364" s="119"/>
      <c r="U364" s="119"/>
      <c r="V364" s="119"/>
      <c r="W364" s="356"/>
      <c r="X364" s="290"/>
      <c r="Y364" s="119"/>
      <c r="Z364" s="119"/>
      <c r="AA364" s="119"/>
      <c r="AB364" s="119"/>
      <c r="AC364" s="119"/>
      <c r="AD364" s="119"/>
      <c r="AE364" s="355"/>
      <c r="AF364" s="356"/>
    </row>
    <row r="365" spans="1:103" s="351" customFormat="1" ht="15.75" x14ac:dyDescent="0.25">
      <c r="A365" s="345" t="s">
        <v>596</v>
      </c>
      <c r="B365" s="474" t="s">
        <v>508</v>
      </c>
      <c r="C365" s="430">
        <f>+C366+C367</f>
        <v>0</v>
      </c>
      <c r="D365" s="455">
        <f>+D366+D367</f>
        <v>200</v>
      </c>
      <c r="E365" s="274">
        <f>+E366+E367</f>
        <v>0</v>
      </c>
      <c r="F365" s="455">
        <f>+F366+F367</f>
        <v>400</v>
      </c>
      <c r="G365" s="292">
        <f t="shared" si="151"/>
        <v>0.5</v>
      </c>
      <c r="H365" s="489"/>
      <c r="I365" s="349"/>
      <c r="J365" s="347">
        <f>+J366+J367</f>
        <v>200</v>
      </c>
      <c r="K365" s="291"/>
      <c r="L365" s="291">
        <f t="shared" si="127"/>
        <v>400</v>
      </c>
      <c r="M365" s="348">
        <f>+J365/L365</f>
        <v>0.5</v>
      </c>
      <c r="N365" s="392"/>
      <c r="O365" s="430">
        <f>+O366+O367</f>
        <v>200</v>
      </c>
      <c r="P365" s="455">
        <f t="shared" ref="P365:AF365" si="154">SUM(P366:P367)</f>
        <v>0</v>
      </c>
      <c r="Q365" s="455">
        <f t="shared" si="154"/>
        <v>0</v>
      </c>
      <c r="R365" s="455">
        <f t="shared" si="154"/>
        <v>0</v>
      </c>
      <c r="S365" s="455">
        <f t="shared" si="154"/>
        <v>0</v>
      </c>
      <c r="T365" s="455">
        <f t="shared" si="154"/>
        <v>0</v>
      </c>
      <c r="U365" s="455">
        <f t="shared" si="154"/>
        <v>0</v>
      </c>
      <c r="V365" s="455">
        <f t="shared" si="154"/>
        <v>0</v>
      </c>
      <c r="W365" s="350">
        <f t="shared" si="154"/>
        <v>0</v>
      </c>
      <c r="X365" s="349">
        <f t="shared" si="154"/>
        <v>400</v>
      </c>
      <c r="Y365" s="455">
        <f t="shared" si="154"/>
        <v>0</v>
      </c>
      <c r="Z365" s="455">
        <f t="shared" si="154"/>
        <v>0</v>
      </c>
      <c r="AA365" s="455">
        <f t="shared" si="154"/>
        <v>0</v>
      </c>
      <c r="AB365" s="455">
        <f t="shared" si="154"/>
        <v>0</v>
      </c>
      <c r="AC365" s="455">
        <f t="shared" si="154"/>
        <v>0</v>
      </c>
      <c r="AD365" s="455">
        <f t="shared" si="154"/>
        <v>0</v>
      </c>
      <c r="AE365" s="455">
        <f t="shared" si="154"/>
        <v>0</v>
      </c>
      <c r="AF365" s="350">
        <f t="shared" si="154"/>
        <v>0</v>
      </c>
      <c r="AG365" s="293"/>
      <c r="AH365" s="293"/>
      <c r="AI365" s="293"/>
      <c r="AJ365" s="293"/>
      <c r="AK365" s="293"/>
      <c r="AL365" s="293"/>
      <c r="AM365" s="293"/>
      <c r="AN365" s="293"/>
      <c r="AO365" s="293"/>
      <c r="AP365" s="293"/>
      <c r="AQ365" s="293"/>
      <c r="AR365" s="293"/>
      <c r="AS365" s="293"/>
      <c r="AT365" s="293"/>
      <c r="AU365" s="293"/>
      <c r="AV365" s="293"/>
      <c r="AW365" s="293"/>
      <c r="AX365" s="293"/>
      <c r="AY365" s="293"/>
      <c r="AZ365" s="293"/>
      <c r="BA365" s="293"/>
      <c r="BB365" s="293"/>
      <c r="BC365" s="293"/>
      <c r="BD365" s="293"/>
      <c r="BE365" s="293"/>
      <c r="BF365" s="293"/>
      <c r="BG365" s="293"/>
      <c r="BH365" s="293"/>
      <c r="BI365" s="293"/>
      <c r="BJ365" s="293"/>
      <c r="BK365" s="293"/>
      <c r="BL365" s="293"/>
      <c r="BM365" s="293"/>
      <c r="BN365" s="293"/>
      <c r="BO365" s="293"/>
      <c r="BP365" s="293"/>
      <c r="BQ365" s="293"/>
      <c r="BR365" s="293"/>
      <c r="BS365" s="293"/>
      <c r="BT365" s="293"/>
      <c r="BU365" s="293"/>
      <c r="BV365" s="293"/>
      <c r="BW365" s="293"/>
      <c r="BX365" s="293"/>
      <c r="BY365" s="293"/>
      <c r="BZ365" s="293"/>
      <c r="CA365" s="293"/>
      <c r="CB365" s="293"/>
      <c r="CC365" s="293"/>
      <c r="CD365" s="293"/>
      <c r="CE365" s="293"/>
      <c r="CF365" s="293"/>
      <c r="CG365" s="293"/>
      <c r="CH365" s="293"/>
      <c r="CI365" s="293"/>
      <c r="CJ365" s="293"/>
      <c r="CK365" s="293"/>
      <c r="CL365" s="293"/>
      <c r="CM365" s="293"/>
      <c r="CN365" s="293"/>
      <c r="CO365" s="293"/>
      <c r="CP365" s="293"/>
      <c r="CQ365" s="293"/>
      <c r="CR365" s="293"/>
      <c r="CS365" s="293"/>
      <c r="CT365" s="293"/>
      <c r="CU365" s="293"/>
      <c r="CV365" s="293"/>
      <c r="CW365" s="293"/>
      <c r="CX365" s="293"/>
      <c r="CY365" s="293"/>
    </row>
    <row r="366" spans="1:103" outlineLevel="1" x14ac:dyDescent="0.25">
      <c r="A366" s="352" t="s">
        <v>1097</v>
      </c>
      <c r="B366" s="475" t="s">
        <v>507</v>
      </c>
      <c r="C366" s="431"/>
      <c r="D366" s="119">
        <f>+J366</f>
        <v>200</v>
      </c>
      <c r="E366" s="110"/>
      <c r="F366" s="119">
        <f>+L366</f>
        <v>400</v>
      </c>
      <c r="G366" s="294">
        <f t="shared" si="151"/>
        <v>0.5</v>
      </c>
      <c r="H366" s="490"/>
      <c r="I366" s="290"/>
      <c r="J366" s="119">
        <f t="shared" si="135"/>
        <v>200</v>
      </c>
      <c r="K366" s="290"/>
      <c r="L366" s="290">
        <f t="shared" si="127"/>
        <v>400</v>
      </c>
      <c r="M366" s="354">
        <f>+J366/L366</f>
        <v>0.5</v>
      </c>
      <c r="N366" s="353"/>
      <c r="O366" s="431">
        <v>200</v>
      </c>
      <c r="P366" s="119"/>
      <c r="Q366" s="119"/>
      <c r="R366" s="119"/>
      <c r="S366" s="119"/>
      <c r="T366" s="119"/>
      <c r="U366" s="119"/>
      <c r="V366" s="119"/>
      <c r="W366" s="356"/>
      <c r="X366" s="290">
        <v>400</v>
      </c>
      <c r="Y366" s="119"/>
      <c r="Z366" s="119"/>
      <c r="AA366" s="119"/>
      <c r="AB366" s="119"/>
      <c r="AC366" s="119"/>
      <c r="AD366" s="119"/>
      <c r="AE366" s="355"/>
      <c r="AF366" s="356"/>
    </row>
    <row r="367" spans="1:103" outlineLevel="1" x14ac:dyDescent="0.25">
      <c r="A367" s="352" t="s">
        <v>1098</v>
      </c>
      <c r="B367" s="475" t="s">
        <v>47</v>
      </c>
      <c r="C367" s="431"/>
      <c r="D367" s="119">
        <f>+J367</f>
        <v>0</v>
      </c>
      <c r="E367" s="110"/>
      <c r="F367" s="119">
        <f>+L367</f>
        <v>0</v>
      </c>
      <c r="G367" s="294"/>
      <c r="H367" s="490"/>
      <c r="I367" s="290"/>
      <c r="J367" s="119">
        <f t="shared" si="135"/>
        <v>0</v>
      </c>
      <c r="K367" s="290"/>
      <c r="L367" s="290">
        <f t="shared" si="127"/>
        <v>0</v>
      </c>
      <c r="M367" s="354"/>
      <c r="N367" s="353"/>
      <c r="O367" s="431"/>
      <c r="P367" s="119"/>
      <c r="Q367" s="119"/>
      <c r="R367" s="119"/>
      <c r="S367" s="119"/>
      <c r="T367" s="119"/>
      <c r="U367" s="119"/>
      <c r="V367" s="119"/>
      <c r="W367" s="356"/>
      <c r="X367" s="290"/>
      <c r="Y367" s="119"/>
      <c r="Z367" s="119"/>
      <c r="AA367" s="119"/>
      <c r="AB367" s="119"/>
      <c r="AC367" s="119"/>
      <c r="AD367" s="119"/>
      <c r="AE367" s="355"/>
      <c r="AF367" s="356"/>
    </row>
    <row r="368" spans="1:103" s="351" customFormat="1" ht="15.75" x14ac:dyDescent="0.25">
      <c r="A368" s="345" t="s">
        <v>597</v>
      </c>
      <c r="B368" s="474" t="s">
        <v>517</v>
      </c>
      <c r="C368" s="430">
        <f>+C369+C370</f>
        <v>160.56</v>
      </c>
      <c r="D368" s="455">
        <f>+D369+D370</f>
        <v>400</v>
      </c>
      <c r="E368" s="274">
        <f>+E369+E370</f>
        <v>0</v>
      </c>
      <c r="F368" s="455">
        <f>+F369+F370</f>
        <v>600</v>
      </c>
      <c r="G368" s="292">
        <f t="shared" si="151"/>
        <v>0.66666666666666663</v>
      </c>
      <c r="H368" s="489">
        <f>+F368/C368</f>
        <v>3.7369207772795217</v>
      </c>
      <c r="I368" s="349"/>
      <c r="J368" s="347">
        <f>+J369+J370</f>
        <v>400</v>
      </c>
      <c r="K368" s="291"/>
      <c r="L368" s="291">
        <f t="shared" si="127"/>
        <v>600</v>
      </c>
      <c r="M368" s="348">
        <f>+J368/L368</f>
        <v>0.66666666666666663</v>
      </c>
      <c r="N368" s="392"/>
      <c r="O368" s="430">
        <f>+O369+O370</f>
        <v>400</v>
      </c>
      <c r="P368" s="455">
        <f t="shared" ref="P368:AF368" si="155">SUM(P369:P370)</f>
        <v>0</v>
      </c>
      <c r="Q368" s="455">
        <f t="shared" si="155"/>
        <v>0</v>
      </c>
      <c r="R368" s="455">
        <f t="shared" si="155"/>
        <v>0</v>
      </c>
      <c r="S368" s="455">
        <f t="shared" si="155"/>
        <v>0</v>
      </c>
      <c r="T368" s="455">
        <f t="shared" si="155"/>
        <v>0</v>
      </c>
      <c r="U368" s="455">
        <f t="shared" si="155"/>
        <v>0</v>
      </c>
      <c r="V368" s="455">
        <f t="shared" si="155"/>
        <v>0</v>
      </c>
      <c r="W368" s="350">
        <f t="shared" si="155"/>
        <v>0</v>
      </c>
      <c r="X368" s="349">
        <f t="shared" si="155"/>
        <v>600</v>
      </c>
      <c r="Y368" s="455">
        <f t="shared" si="155"/>
        <v>0</v>
      </c>
      <c r="Z368" s="455">
        <f t="shared" si="155"/>
        <v>0</v>
      </c>
      <c r="AA368" s="455">
        <f t="shared" si="155"/>
        <v>0</v>
      </c>
      <c r="AB368" s="455">
        <f t="shared" si="155"/>
        <v>0</v>
      </c>
      <c r="AC368" s="455">
        <f t="shared" si="155"/>
        <v>0</v>
      </c>
      <c r="AD368" s="455">
        <f t="shared" si="155"/>
        <v>0</v>
      </c>
      <c r="AE368" s="455">
        <f t="shared" si="155"/>
        <v>0</v>
      </c>
      <c r="AF368" s="350">
        <f t="shared" si="155"/>
        <v>0</v>
      </c>
      <c r="AG368" s="293"/>
      <c r="AH368" s="293"/>
      <c r="AI368" s="293"/>
      <c r="AJ368" s="293"/>
      <c r="AK368" s="293"/>
      <c r="AL368" s="293"/>
      <c r="AM368" s="293"/>
      <c r="AN368" s="293"/>
      <c r="AO368" s="293"/>
      <c r="AP368" s="293"/>
      <c r="AQ368" s="293"/>
      <c r="AR368" s="293"/>
      <c r="AS368" s="293"/>
      <c r="AT368" s="293"/>
      <c r="AU368" s="293"/>
      <c r="AV368" s="293"/>
      <c r="AW368" s="293"/>
      <c r="AX368" s="293"/>
      <c r="AY368" s="293"/>
      <c r="AZ368" s="293"/>
      <c r="BA368" s="293"/>
      <c r="BB368" s="293"/>
      <c r="BC368" s="293"/>
      <c r="BD368" s="293"/>
      <c r="BE368" s="293"/>
      <c r="BF368" s="293"/>
      <c r="BG368" s="293"/>
      <c r="BH368" s="293"/>
      <c r="BI368" s="293"/>
      <c r="BJ368" s="293"/>
      <c r="BK368" s="293"/>
      <c r="BL368" s="293"/>
      <c r="BM368" s="293"/>
      <c r="BN368" s="293"/>
      <c r="BO368" s="293"/>
      <c r="BP368" s="293"/>
      <c r="BQ368" s="293"/>
      <c r="BR368" s="293"/>
      <c r="BS368" s="293"/>
      <c r="BT368" s="293"/>
      <c r="BU368" s="293"/>
      <c r="BV368" s="293"/>
      <c r="BW368" s="293"/>
      <c r="BX368" s="293"/>
      <c r="BY368" s="293"/>
      <c r="BZ368" s="293"/>
      <c r="CA368" s="293"/>
      <c r="CB368" s="293"/>
      <c r="CC368" s="293"/>
      <c r="CD368" s="293"/>
      <c r="CE368" s="293"/>
      <c r="CF368" s="293"/>
      <c r="CG368" s="293"/>
      <c r="CH368" s="293"/>
      <c r="CI368" s="293"/>
      <c r="CJ368" s="293"/>
      <c r="CK368" s="293"/>
      <c r="CL368" s="293"/>
      <c r="CM368" s="293"/>
      <c r="CN368" s="293"/>
      <c r="CO368" s="293"/>
      <c r="CP368" s="293"/>
      <c r="CQ368" s="293"/>
      <c r="CR368" s="293"/>
      <c r="CS368" s="293"/>
      <c r="CT368" s="293"/>
      <c r="CU368" s="293"/>
      <c r="CV368" s="293"/>
      <c r="CW368" s="293"/>
      <c r="CX368" s="293"/>
      <c r="CY368" s="293"/>
    </row>
    <row r="369" spans="1:103" outlineLevel="1" x14ac:dyDescent="0.25">
      <c r="A369" s="352" t="s">
        <v>598</v>
      </c>
      <c r="B369" s="475" t="s">
        <v>1199</v>
      </c>
      <c r="C369" s="431">
        <v>160.56</v>
      </c>
      <c r="D369" s="119">
        <f>+J369</f>
        <v>400</v>
      </c>
      <c r="E369" s="110"/>
      <c r="F369" s="119">
        <f>+L369</f>
        <v>600</v>
      </c>
      <c r="G369" s="294">
        <f t="shared" si="151"/>
        <v>0.66666666666666663</v>
      </c>
      <c r="H369" s="490">
        <f>+F369/C369</f>
        <v>3.7369207772795217</v>
      </c>
      <c r="I369" s="290"/>
      <c r="J369" s="119">
        <f t="shared" si="135"/>
        <v>400</v>
      </c>
      <c r="K369" s="290"/>
      <c r="L369" s="290">
        <f t="shared" si="127"/>
        <v>600</v>
      </c>
      <c r="M369" s="354">
        <f>+J369/L369</f>
        <v>0.66666666666666663</v>
      </c>
      <c r="N369" s="353"/>
      <c r="O369" s="431">
        <v>400</v>
      </c>
      <c r="P369" s="119"/>
      <c r="Q369" s="119"/>
      <c r="R369" s="119"/>
      <c r="S369" s="119"/>
      <c r="T369" s="119"/>
      <c r="U369" s="119"/>
      <c r="V369" s="119"/>
      <c r="W369" s="356"/>
      <c r="X369" s="290">
        <v>600</v>
      </c>
      <c r="Y369" s="119"/>
      <c r="Z369" s="119"/>
      <c r="AA369" s="119"/>
      <c r="AB369" s="119"/>
      <c r="AC369" s="119"/>
      <c r="AD369" s="119"/>
      <c r="AE369" s="355"/>
      <c r="AF369" s="356"/>
    </row>
    <row r="370" spans="1:103" outlineLevel="1" x14ac:dyDescent="0.25">
      <c r="A370" s="352" t="s">
        <v>1099</v>
      </c>
      <c r="B370" s="475" t="s">
        <v>903</v>
      </c>
      <c r="C370" s="431"/>
      <c r="D370" s="119">
        <f>+J370</f>
        <v>0</v>
      </c>
      <c r="E370" s="110"/>
      <c r="F370" s="119">
        <f>+L370</f>
        <v>0</v>
      </c>
      <c r="G370" s="294"/>
      <c r="H370" s="490"/>
      <c r="I370" s="290"/>
      <c r="J370" s="119">
        <f t="shared" si="135"/>
        <v>0</v>
      </c>
      <c r="K370" s="290"/>
      <c r="L370" s="290">
        <f t="shared" si="127"/>
        <v>0</v>
      </c>
      <c r="M370" s="354"/>
      <c r="N370" s="353"/>
      <c r="O370" s="431"/>
      <c r="P370" s="119"/>
      <c r="Q370" s="119"/>
      <c r="R370" s="119"/>
      <c r="S370" s="119"/>
      <c r="T370" s="119"/>
      <c r="U370" s="119"/>
      <c r="V370" s="119"/>
      <c r="W370" s="356"/>
      <c r="X370" s="290"/>
      <c r="Y370" s="119"/>
      <c r="Z370" s="119"/>
      <c r="AA370" s="119"/>
      <c r="AB370" s="119"/>
      <c r="AC370" s="119"/>
      <c r="AD370" s="119"/>
      <c r="AE370" s="355"/>
      <c r="AF370" s="356"/>
    </row>
    <row r="371" spans="1:103" s="351" customFormat="1" ht="15.75" x14ac:dyDescent="0.25">
      <c r="A371" s="345" t="s">
        <v>601</v>
      </c>
      <c r="B371" s="474" t="s">
        <v>73</v>
      </c>
      <c r="C371" s="430">
        <f>+C372+C373+C374</f>
        <v>295.95999999999998</v>
      </c>
      <c r="D371" s="455">
        <f>+D372+D373+D374</f>
        <v>500</v>
      </c>
      <c r="E371" s="274">
        <f>+E372+E373+E374</f>
        <v>260.66999999999996</v>
      </c>
      <c r="F371" s="455">
        <f>+F372+F373+F374</f>
        <v>500</v>
      </c>
      <c r="G371" s="292">
        <f t="shared" si="151"/>
        <v>1</v>
      </c>
      <c r="H371" s="489">
        <f>+F371/C371</f>
        <v>1.6894174888498448</v>
      </c>
      <c r="I371" s="349"/>
      <c r="J371" s="347">
        <f>+J372+J373+J374</f>
        <v>500</v>
      </c>
      <c r="K371" s="291"/>
      <c r="L371" s="291">
        <f t="shared" si="127"/>
        <v>500</v>
      </c>
      <c r="M371" s="348">
        <f>+J371/L371</f>
        <v>1</v>
      </c>
      <c r="N371" s="392"/>
      <c r="O371" s="430">
        <f>+O372+O373+O374</f>
        <v>500</v>
      </c>
      <c r="P371" s="455">
        <f t="shared" ref="P371:AF371" si="156">SUM(P372:P374)</f>
        <v>0</v>
      </c>
      <c r="Q371" s="455">
        <f t="shared" si="156"/>
        <v>0</v>
      </c>
      <c r="R371" s="455">
        <f t="shared" si="156"/>
        <v>0</v>
      </c>
      <c r="S371" s="455">
        <f t="shared" si="156"/>
        <v>0</v>
      </c>
      <c r="T371" s="455">
        <f t="shared" si="156"/>
        <v>0</v>
      </c>
      <c r="U371" s="455">
        <f t="shared" si="156"/>
        <v>0</v>
      </c>
      <c r="V371" s="455">
        <f t="shared" si="156"/>
        <v>0</v>
      </c>
      <c r="W371" s="350">
        <f t="shared" si="156"/>
        <v>0</v>
      </c>
      <c r="X371" s="349">
        <f t="shared" si="156"/>
        <v>500</v>
      </c>
      <c r="Y371" s="455">
        <f t="shared" si="156"/>
        <v>0</v>
      </c>
      <c r="Z371" s="455">
        <f t="shared" si="156"/>
        <v>0</v>
      </c>
      <c r="AA371" s="455">
        <f t="shared" si="156"/>
        <v>0</v>
      </c>
      <c r="AB371" s="455">
        <f t="shared" si="156"/>
        <v>0</v>
      </c>
      <c r="AC371" s="455">
        <f t="shared" si="156"/>
        <v>0</v>
      </c>
      <c r="AD371" s="455">
        <f t="shared" si="156"/>
        <v>0</v>
      </c>
      <c r="AE371" s="455">
        <f t="shared" si="156"/>
        <v>0</v>
      </c>
      <c r="AF371" s="350">
        <f t="shared" si="156"/>
        <v>0</v>
      </c>
      <c r="AG371" s="293"/>
      <c r="AH371" s="293"/>
      <c r="AI371" s="293"/>
      <c r="AJ371" s="293"/>
      <c r="AK371" s="293"/>
      <c r="AL371" s="293"/>
      <c r="AM371" s="293"/>
      <c r="AN371" s="293"/>
      <c r="AO371" s="293"/>
      <c r="AP371" s="293"/>
      <c r="AQ371" s="293"/>
      <c r="AR371" s="293"/>
      <c r="AS371" s="293"/>
      <c r="AT371" s="293"/>
      <c r="AU371" s="293"/>
      <c r="AV371" s="293"/>
      <c r="AW371" s="293"/>
      <c r="AX371" s="293"/>
      <c r="AY371" s="293"/>
      <c r="AZ371" s="293"/>
      <c r="BA371" s="293"/>
      <c r="BB371" s="293"/>
      <c r="BC371" s="293"/>
      <c r="BD371" s="293"/>
      <c r="BE371" s="293"/>
      <c r="BF371" s="293"/>
      <c r="BG371" s="293"/>
      <c r="BH371" s="293"/>
      <c r="BI371" s="293"/>
      <c r="BJ371" s="293"/>
      <c r="BK371" s="293"/>
      <c r="BL371" s="293"/>
      <c r="BM371" s="293"/>
      <c r="BN371" s="293"/>
      <c r="BO371" s="293"/>
      <c r="BP371" s="293"/>
      <c r="BQ371" s="293"/>
      <c r="BR371" s="293"/>
      <c r="BS371" s="293"/>
      <c r="BT371" s="293"/>
      <c r="BU371" s="293"/>
      <c r="BV371" s="293"/>
      <c r="BW371" s="293"/>
      <c r="BX371" s="293"/>
      <c r="BY371" s="293"/>
      <c r="BZ371" s="293"/>
      <c r="CA371" s="293"/>
      <c r="CB371" s="293"/>
      <c r="CC371" s="293"/>
      <c r="CD371" s="293"/>
      <c r="CE371" s="293"/>
      <c r="CF371" s="293"/>
      <c r="CG371" s="293"/>
      <c r="CH371" s="293"/>
      <c r="CI371" s="293"/>
      <c r="CJ371" s="293"/>
      <c r="CK371" s="293"/>
      <c r="CL371" s="293"/>
      <c r="CM371" s="293"/>
      <c r="CN371" s="293"/>
      <c r="CO371" s="293"/>
      <c r="CP371" s="293"/>
      <c r="CQ371" s="293"/>
      <c r="CR371" s="293"/>
      <c r="CS371" s="293"/>
      <c r="CT371" s="293"/>
      <c r="CU371" s="293"/>
      <c r="CV371" s="293"/>
      <c r="CW371" s="293"/>
      <c r="CX371" s="293"/>
      <c r="CY371" s="293"/>
    </row>
    <row r="372" spans="1:103" outlineLevel="1" x14ac:dyDescent="0.25">
      <c r="A372" s="352" t="s">
        <v>602</v>
      </c>
      <c r="B372" s="475" t="s">
        <v>74</v>
      </c>
      <c r="C372" s="431">
        <v>42.12</v>
      </c>
      <c r="D372" s="119">
        <f>+J372</f>
        <v>200</v>
      </c>
      <c r="E372" s="110">
        <v>101.88</v>
      </c>
      <c r="F372" s="119">
        <f>+L372</f>
        <v>200</v>
      </c>
      <c r="G372" s="294">
        <f t="shared" si="151"/>
        <v>1</v>
      </c>
      <c r="H372" s="490">
        <f>+F372/C372</f>
        <v>4.7483380816714149</v>
      </c>
      <c r="I372" s="290"/>
      <c r="J372" s="119">
        <f t="shared" si="135"/>
        <v>200</v>
      </c>
      <c r="K372" s="290"/>
      <c r="L372" s="290">
        <f t="shared" si="127"/>
        <v>200</v>
      </c>
      <c r="M372" s="354">
        <f>+J372/L372</f>
        <v>1</v>
      </c>
      <c r="N372" s="353"/>
      <c r="O372" s="431">
        <f>+X372</f>
        <v>200</v>
      </c>
      <c r="P372" s="119"/>
      <c r="Q372" s="119"/>
      <c r="R372" s="119"/>
      <c r="S372" s="119"/>
      <c r="T372" s="119"/>
      <c r="U372" s="119"/>
      <c r="V372" s="119"/>
      <c r="W372" s="356"/>
      <c r="X372" s="290">
        <v>200</v>
      </c>
      <c r="Y372" s="119"/>
      <c r="Z372" s="119"/>
      <c r="AA372" s="119"/>
      <c r="AB372" s="119"/>
      <c r="AC372" s="119"/>
      <c r="AD372" s="119"/>
      <c r="AE372" s="355"/>
      <c r="AF372" s="356"/>
    </row>
    <row r="373" spans="1:103" outlineLevel="1" x14ac:dyDescent="0.25">
      <c r="A373" s="352" t="s">
        <v>603</v>
      </c>
      <c r="B373" s="475" t="s">
        <v>75</v>
      </c>
      <c r="C373" s="431">
        <v>253.84</v>
      </c>
      <c r="D373" s="119">
        <f>+J373</f>
        <v>300</v>
      </c>
      <c r="E373" s="110">
        <v>158.79</v>
      </c>
      <c r="F373" s="119">
        <f>+L373</f>
        <v>300</v>
      </c>
      <c r="G373" s="294">
        <f t="shared" si="151"/>
        <v>1</v>
      </c>
      <c r="H373" s="490">
        <f>+F373/C373</f>
        <v>1.1818468326504885</v>
      </c>
      <c r="I373" s="290"/>
      <c r="J373" s="119">
        <f t="shared" si="135"/>
        <v>300</v>
      </c>
      <c r="K373" s="290"/>
      <c r="L373" s="290">
        <f t="shared" si="127"/>
        <v>300</v>
      </c>
      <c r="M373" s="354">
        <f>+J373/L373</f>
        <v>1</v>
      </c>
      <c r="N373" s="353"/>
      <c r="O373" s="431">
        <f>+X373</f>
        <v>300</v>
      </c>
      <c r="P373" s="119"/>
      <c r="Q373" s="119"/>
      <c r="R373" s="119"/>
      <c r="S373" s="119"/>
      <c r="T373" s="119"/>
      <c r="U373" s="119"/>
      <c r="V373" s="119"/>
      <c r="W373" s="356"/>
      <c r="X373" s="290">
        <v>300</v>
      </c>
      <c r="Y373" s="119"/>
      <c r="Z373" s="119"/>
      <c r="AA373" s="119"/>
      <c r="AB373" s="119"/>
      <c r="AC373" s="119"/>
      <c r="AD373" s="119"/>
      <c r="AE373" s="355"/>
      <c r="AF373" s="356"/>
    </row>
    <row r="374" spans="1:103" outlineLevel="1" x14ac:dyDescent="0.25">
      <c r="A374" s="352" t="s">
        <v>1100</v>
      </c>
      <c r="B374" s="475" t="s">
        <v>47</v>
      </c>
      <c r="C374" s="431"/>
      <c r="D374" s="119">
        <f>+J374</f>
        <v>0</v>
      </c>
      <c r="E374" s="110"/>
      <c r="F374" s="119">
        <f>+L374</f>
        <v>0</v>
      </c>
      <c r="G374" s="294"/>
      <c r="H374" s="490"/>
      <c r="I374" s="290"/>
      <c r="J374" s="119">
        <f t="shared" si="135"/>
        <v>0</v>
      </c>
      <c r="K374" s="290"/>
      <c r="L374" s="290">
        <f t="shared" si="127"/>
        <v>0</v>
      </c>
      <c r="M374" s="354"/>
      <c r="N374" s="353"/>
      <c r="O374" s="431"/>
      <c r="P374" s="119"/>
      <c r="Q374" s="119"/>
      <c r="R374" s="119"/>
      <c r="S374" s="119"/>
      <c r="T374" s="119"/>
      <c r="U374" s="119"/>
      <c r="V374" s="119"/>
      <c r="W374" s="356"/>
      <c r="X374" s="290"/>
      <c r="Y374" s="119"/>
      <c r="Z374" s="119"/>
      <c r="AA374" s="119"/>
      <c r="AB374" s="119"/>
      <c r="AC374" s="119"/>
      <c r="AD374" s="119"/>
      <c r="AE374" s="355"/>
      <c r="AF374" s="356"/>
    </row>
    <row r="375" spans="1:103" s="351" customFormat="1" ht="15.75" x14ac:dyDescent="0.25">
      <c r="A375" s="345" t="s">
        <v>606</v>
      </c>
      <c r="B375" s="474" t="s">
        <v>509</v>
      </c>
      <c r="C375" s="430">
        <f>+C376+C377+C378+C379</f>
        <v>482.47</v>
      </c>
      <c r="D375" s="455">
        <f>+D376+D377+D378+D379</f>
        <v>600</v>
      </c>
      <c r="E375" s="274">
        <f>+E376+E377+E378+E379</f>
        <v>129.78</v>
      </c>
      <c r="F375" s="455">
        <f>+F376+F377+F378+F379</f>
        <v>900</v>
      </c>
      <c r="G375" s="292">
        <f t="shared" si="151"/>
        <v>0.66666666666666663</v>
      </c>
      <c r="H375" s="489">
        <f>+F375/C375</f>
        <v>1.8654009575724915</v>
      </c>
      <c r="I375" s="349"/>
      <c r="J375" s="347">
        <f>+J376+J377+J378+J379</f>
        <v>600</v>
      </c>
      <c r="K375" s="291"/>
      <c r="L375" s="291">
        <f t="shared" ref="L375:L438" si="157">+X375+Y375+Z375+AA375+AB375+AC375+AD375+AE375+AF375</f>
        <v>900</v>
      </c>
      <c r="M375" s="348">
        <f>+J375/L375</f>
        <v>0.66666666666666663</v>
      </c>
      <c r="N375" s="392"/>
      <c r="O375" s="430">
        <f>+O376+O377+O378+O379</f>
        <v>600</v>
      </c>
      <c r="P375" s="455">
        <f t="shared" ref="P375:AF375" si="158">SUM(P376:P379)</f>
        <v>0</v>
      </c>
      <c r="Q375" s="455">
        <f t="shared" si="158"/>
        <v>0</v>
      </c>
      <c r="R375" s="455">
        <f t="shared" si="158"/>
        <v>0</v>
      </c>
      <c r="S375" s="455">
        <f t="shared" si="158"/>
        <v>0</v>
      </c>
      <c r="T375" s="455">
        <f t="shared" si="158"/>
        <v>0</v>
      </c>
      <c r="U375" s="455">
        <f t="shared" si="158"/>
        <v>0</v>
      </c>
      <c r="V375" s="455">
        <f t="shared" si="158"/>
        <v>0</v>
      </c>
      <c r="W375" s="350">
        <f t="shared" si="158"/>
        <v>0</v>
      </c>
      <c r="X375" s="349">
        <f t="shared" si="158"/>
        <v>900</v>
      </c>
      <c r="Y375" s="455">
        <f t="shared" si="158"/>
        <v>0</v>
      </c>
      <c r="Z375" s="455">
        <f t="shared" si="158"/>
        <v>0</v>
      </c>
      <c r="AA375" s="455">
        <f t="shared" si="158"/>
        <v>0</v>
      </c>
      <c r="AB375" s="455">
        <f t="shared" si="158"/>
        <v>0</v>
      </c>
      <c r="AC375" s="455">
        <f t="shared" si="158"/>
        <v>0</v>
      </c>
      <c r="AD375" s="455">
        <f t="shared" si="158"/>
        <v>0</v>
      </c>
      <c r="AE375" s="455">
        <f t="shared" si="158"/>
        <v>0</v>
      </c>
      <c r="AF375" s="350">
        <f t="shared" si="158"/>
        <v>0</v>
      </c>
      <c r="AG375" s="293"/>
      <c r="AH375" s="293"/>
      <c r="AI375" s="293"/>
      <c r="AJ375" s="293"/>
      <c r="AK375" s="293"/>
      <c r="AL375" s="293"/>
      <c r="AM375" s="293"/>
      <c r="AN375" s="293"/>
      <c r="AO375" s="293"/>
      <c r="AP375" s="293"/>
      <c r="AQ375" s="293"/>
      <c r="AR375" s="293"/>
      <c r="AS375" s="293"/>
      <c r="AT375" s="293"/>
      <c r="AU375" s="293"/>
      <c r="AV375" s="293"/>
      <c r="AW375" s="293"/>
      <c r="AX375" s="293"/>
      <c r="AY375" s="293"/>
      <c r="AZ375" s="293"/>
      <c r="BA375" s="293"/>
      <c r="BB375" s="293"/>
      <c r="BC375" s="293"/>
      <c r="BD375" s="293"/>
      <c r="BE375" s="293"/>
      <c r="BF375" s="293"/>
      <c r="BG375" s="293"/>
      <c r="BH375" s="293"/>
      <c r="BI375" s="293"/>
      <c r="BJ375" s="293"/>
      <c r="BK375" s="293"/>
      <c r="BL375" s="293"/>
      <c r="BM375" s="293"/>
      <c r="BN375" s="293"/>
      <c r="BO375" s="293"/>
      <c r="BP375" s="293"/>
      <c r="BQ375" s="293"/>
      <c r="BR375" s="293"/>
      <c r="BS375" s="293"/>
      <c r="BT375" s="293"/>
      <c r="BU375" s="293"/>
      <c r="BV375" s="293"/>
      <c r="BW375" s="293"/>
      <c r="BX375" s="293"/>
      <c r="BY375" s="293"/>
      <c r="BZ375" s="293"/>
      <c r="CA375" s="293"/>
      <c r="CB375" s="293"/>
      <c r="CC375" s="293"/>
      <c r="CD375" s="293"/>
      <c r="CE375" s="293"/>
      <c r="CF375" s="293"/>
      <c r="CG375" s="293"/>
      <c r="CH375" s="293"/>
      <c r="CI375" s="293"/>
      <c r="CJ375" s="293"/>
      <c r="CK375" s="293"/>
      <c r="CL375" s="293"/>
      <c r="CM375" s="293"/>
      <c r="CN375" s="293"/>
      <c r="CO375" s="293"/>
      <c r="CP375" s="293"/>
      <c r="CQ375" s="293"/>
      <c r="CR375" s="293"/>
      <c r="CS375" s="293"/>
      <c r="CT375" s="293"/>
      <c r="CU375" s="293"/>
      <c r="CV375" s="293"/>
      <c r="CW375" s="293"/>
      <c r="CX375" s="293"/>
      <c r="CY375" s="293"/>
    </row>
    <row r="376" spans="1:103" outlineLevel="1" x14ac:dyDescent="0.25">
      <c r="A376" s="352" t="s">
        <v>1004</v>
      </c>
      <c r="B376" s="475" t="s">
        <v>510</v>
      </c>
      <c r="C376" s="431">
        <v>434.5</v>
      </c>
      <c r="D376" s="119">
        <f t="shared" ref="D376:D402" si="159">+J376</f>
        <v>300</v>
      </c>
      <c r="E376" s="110">
        <v>129.78</v>
      </c>
      <c r="F376" s="119">
        <f>+L376</f>
        <v>600</v>
      </c>
      <c r="G376" s="294">
        <f t="shared" si="151"/>
        <v>0.5</v>
      </c>
      <c r="H376" s="490">
        <f>+F376/C376</f>
        <v>1.380897583429229</v>
      </c>
      <c r="I376" s="290"/>
      <c r="J376" s="119">
        <f t="shared" si="135"/>
        <v>300</v>
      </c>
      <c r="K376" s="290"/>
      <c r="L376" s="290">
        <f t="shared" si="157"/>
        <v>600</v>
      </c>
      <c r="M376" s="354">
        <f>+J376/L376</f>
        <v>0.5</v>
      </c>
      <c r="N376" s="353"/>
      <c r="O376" s="431">
        <v>300</v>
      </c>
      <c r="P376" s="119"/>
      <c r="Q376" s="119"/>
      <c r="R376" s="119"/>
      <c r="S376" s="119"/>
      <c r="T376" s="119"/>
      <c r="U376" s="119"/>
      <c r="V376" s="119"/>
      <c r="W376" s="356"/>
      <c r="X376" s="290">
        <v>600</v>
      </c>
      <c r="Y376" s="119"/>
      <c r="Z376" s="119"/>
      <c r="AA376" s="119"/>
      <c r="AB376" s="119"/>
      <c r="AC376" s="119"/>
      <c r="AD376" s="119"/>
      <c r="AE376" s="355"/>
      <c r="AF376" s="356"/>
    </row>
    <row r="377" spans="1:103" outlineLevel="1" x14ac:dyDescent="0.25">
      <c r="A377" s="352" t="s">
        <v>1101</v>
      </c>
      <c r="B377" s="475" t="s">
        <v>511</v>
      </c>
      <c r="C377" s="431"/>
      <c r="D377" s="119">
        <f t="shared" si="159"/>
        <v>0</v>
      </c>
      <c r="E377" s="110"/>
      <c r="F377" s="119">
        <f>+L377</f>
        <v>0</v>
      </c>
      <c r="G377" s="294"/>
      <c r="H377" s="490"/>
      <c r="I377" s="290"/>
      <c r="J377" s="119">
        <f t="shared" si="135"/>
        <v>0</v>
      </c>
      <c r="K377" s="290"/>
      <c r="L377" s="290">
        <f t="shared" si="157"/>
        <v>0</v>
      </c>
      <c r="M377" s="354"/>
      <c r="N377" s="353"/>
      <c r="O377" s="431"/>
      <c r="P377" s="119"/>
      <c r="Q377" s="119"/>
      <c r="R377" s="119"/>
      <c r="S377" s="119"/>
      <c r="T377" s="119"/>
      <c r="U377" s="119"/>
      <c r="V377" s="119"/>
      <c r="W377" s="356"/>
      <c r="X377" s="290"/>
      <c r="Y377" s="119"/>
      <c r="Z377" s="119"/>
      <c r="AA377" s="119"/>
      <c r="AB377" s="119"/>
      <c r="AC377" s="119"/>
      <c r="AD377" s="119"/>
      <c r="AE377" s="355"/>
      <c r="AF377" s="356"/>
    </row>
    <row r="378" spans="1:103" outlineLevel="1" x14ac:dyDescent="0.25">
      <c r="A378" s="352" t="s">
        <v>1102</v>
      </c>
      <c r="B378" s="475" t="s">
        <v>512</v>
      </c>
      <c r="C378" s="431"/>
      <c r="D378" s="119">
        <f t="shared" si="159"/>
        <v>300</v>
      </c>
      <c r="E378" s="110"/>
      <c r="F378" s="119">
        <f>+L378</f>
        <v>300</v>
      </c>
      <c r="G378" s="294">
        <f t="shared" si="151"/>
        <v>1</v>
      </c>
      <c r="H378" s="490"/>
      <c r="I378" s="290"/>
      <c r="J378" s="119">
        <f t="shared" si="135"/>
        <v>300</v>
      </c>
      <c r="K378" s="290"/>
      <c r="L378" s="290">
        <f t="shared" si="157"/>
        <v>300</v>
      </c>
      <c r="M378" s="354">
        <f>+J378/L378</f>
        <v>1</v>
      </c>
      <c r="N378" s="353"/>
      <c r="O378" s="431">
        <f>+X378</f>
        <v>300</v>
      </c>
      <c r="P378" s="119"/>
      <c r="Q378" s="119"/>
      <c r="R378" s="119"/>
      <c r="S378" s="119"/>
      <c r="T378" s="119"/>
      <c r="U378" s="119"/>
      <c r="V378" s="119"/>
      <c r="W378" s="356"/>
      <c r="X378" s="290">
        <v>300</v>
      </c>
      <c r="Y378" s="119"/>
      <c r="Z378" s="119"/>
      <c r="AA378" s="119"/>
      <c r="AB378" s="119"/>
      <c r="AC378" s="119"/>
      <c r="AD378" s="119"/>
      <c r="AE378" s="355"/>
      <c r="AF378" s="356"/>
    </row>
    <row r="379" spans="1:103" outlineLevel="1" x14ac:dyDescent="0.25">
      <c r="A379" s="352" t="s">
        <v>1103</v>
      </c>
      <c r="B379" s="475" t="s">
        <v>47</v>
      </c>
      <c r="C379" s="431">
        <v>47.97</v>
      </c>
      <c r="D379" s="119">
        <f t="shared" si="159"/>
        <v>0</v>
      </c>
      <c r="E379" s="110"/>
      <c r="F379" s="119">
        <f>+L379</f>
        <v>0</v>
      </c>
      <c r="G379" s="294"/>
      <c r="H379" s="490">
        <f>+F379/C379</f>
        <v>0</v>
      </c>
      <c r="I379" s="290"/>
      <c r="J379" s="119">
        <f t="shared" si="135"/>
        <v>0</v>
      </c>
      <c r="K379" s="290"/>
      <c r="L379" s="290">
        <f t="shared" si="157"/>
        <v>0</v>
      </c>
      <c r="M379" s="354"/>
      <c r="N379" s="353"/>
      <c r="O379" s="431"/>
      <c r="P379" s="119"/>
      <c r="Q379" s="119"/>
      <c r="R379" s="119"/>
      <c r="S379" s="119"/>
      <c r="T379" s="119"/>
      <c r="U379" s="119"/>
      <c r="V379" s="119"/>
      <c r="W379" s="356"/>
      <c r="X379" s="290"/>
      <c r="Y379" s="119"/>
      <c r="Z379" s="119"/>
      <c r="AA379" s="119"/>
      <c r="AB379" s="119"/>
      <c r="AC379" s="119"/>
      <c r="AD379" s="119"/>
      <c r="AE379" s="355"/>
      <c r="AF379" s="356"/>
    </row>
    <row r="380" spans="1:103" s="351" customFormat="1" ht="15.75" x14ac:dyDescent="0.25">
      <c r="A380" s="345" t="s">
        <v>607</v>
      </c>
      <c r="B380" s="474" t="s">
        <v>166</v>
      </c>
      <c r="C380" s="430">
        <v>922.35</v>
      </c>
      <c r="D380" s="455">
        <f t="shared" si="159"/>
        <v>1252.4106999999999</v>
      </c>
      <c r="E380" s="505">
        <v>999.99</v>
      </c>
      <c r="F380" s="455">
        <f>+L380</f>
        <v>1295.1199999999999</v>
      </c>
      <c r="G380" s="292">
        <f t="shared" si="151"/>
        <v>0.96702290135277036</v>
      </c>
      <c r="H380" s="489">
        <f>+F380/C380</f>
        <v>1.404152436710576</v>
      </c>
      <c r="I380" s="349">
        <v>4368</v>
      </c>
      <c r="J380" s="347">
        <f t="shared" si="135"/>
        <v>1252.4106999999999</v>
      </c>
      <c r="K380" s="291"/>
      <c r="L380" s="291">
        <f t="shared" si="157"/>
        <v>1295.1199999999999</v>
      </c>
      <c r="M380" s="348">
        <f>+J380/L380</f>
        <v>0.96702290135277036</v>
      </c>
      <c r="N380" s="392">
        <f>+L380/I380</f>
        <v>0.29650183150183146</v>
      </c>
      <c r="O380" s="430">
        <f>+X380*1.01</f>
        <v>1040.3706999999999</v>
      </c>
      <c r="P380" s="455"/>
      <c r="Q380" s="455">
        <f>+Z380*0.8</f>
        <v>212.04000000000002</v>
      </c>
      <c r="R380" s="455"/>
      <c r="S380" s="455"/>
      <c r="T380" s="455"/>
      <c r="U380" s="455"/>
      <c r="V380" s="455"/>
      <c r="W380" s="350"/>
      <c r="X380" s="349">
        <v>1030.07</v>
      </c>
      <c r="Y380" s="455"/>
      <c r="Z380" s="455">
        <v>265.05</v>
      </c>
      <c r="AA380" s="455"/>
      <c r="AB380" s="455"/>
      <c r="AC380" s="455"/>
      <c r="AD380" s="455"/>
      <c r="AE380" s="455"/>
      <c r="AF380" s="359"/>
      <c r="AG380" s="293"/>
      <c r="AH380" s="293"/>
      <c r="AI380" s="293"/>
      <c r="AJ380" s="293"/>
      <c r="AK380" s="293"/>
      <c r="AL380" s="293"/>
      <c r="AM380" s="293"/>
      <c r="AN380" s="293"/>
      <c r="AO380" s="293"/>
      <c r="AP380" s="293"/>
      <c r="AQ380" s="293"/>
      <c r="AR380" s="293"/>
      <c r="AS380" s="293"/>
      <c r="AT380" s="293"/>
      <c r="AU380" s="293"/>
      <c r="AV380" s="293"/>
      <c r="AW380" s="293"/>
      <c r="AX380" s="293"/>
      <c r="AY380" s="293"/>
      <c r="AZ380" s="293"/>
      <c r="BA380" s="293"/>
      <c r="BB380" s="293"/>
      <c r="BC380" s="293"/>
      <c r="BD380" s="293"/>
      <c r="BE380" s="293"/>
      <c r="BF380" s="293"/>
      <c r="BG380" s="293"/>
      <c r="BH380" s="293"/>
      <c r="BI380" s="293"/>
      <c r="BJ380" s="293"/>
      <c r="BK380" s="293"/>
      <c r="BL380" s="293"/>
      <c r="BM380" s="293"/>
      <c r="BN380" s="293"/>
      <c r="BO380" s="293"/>
      <c r="BP380" s="293"/>
      <c r="BQ380" s="293"/>
      <c r="BR380" s="293"/>
      <c r="BS380" s="293"/>
      <c r="BT380" s="293"/>
      <c r="BU380" s="293"/>
      <c r="BV380" s="293"/>
      <c r="BW380" s="293"/>
      <c r="BX380" s="293"/>
      <c r="BY380" s="293"/>
      <c r="BZ380" s="293"/>
      <c r="CA380" s="293"/>
      <c r="CB380" s="293"/>
      <c r="CC380" s="293"/>
      <c r="CD380" s="293"/>
      <c r="CE380" s="293"/>
      <c r="CF380" s="293"/>
      <c r="CG380" s="293"/>
      <c r="CH380" s="293"/>
      <c r="CI380" s="293"/>
      <c r="CJ380" s="293"/>
      <c r="CK380" s="293"/>
      <c r="CL380" s="293"/>
      <c r="CM380" s="293"/>
      <c r="CN380" s="293"/>
      <c r="CO380" s="293"/>
      <c r="CP380" s="293"/>
      <c r="CQ380" s="293"/>
      <c r="CR380" s="293"/>
      <c r="CS380" s="293"/>
      <c r="CT380" s="293"/>
      <c r="CU380" s="293"/>
      <c r="CV380" s="293"/>
      <c r="CW380" s="293"/>
      <c r="CX380" s="293"/>
      <c r="CY380" s="293"/>
    </row>
    <row r="381" spans="1:103" s="351" customFormat="1" ht="15.75" x14ac:dyDescent="0.25">
      <c r="A381" s="407"/>
      <c r="B381" s="483" t="s">
        <v>1341</v>
      </c>
      <c r="C381" s="469">
        <v>3008.06</v>
      </c>
      <c r="D381" s="409">
        <f t="shared" si="159"/>
        <v>0</v>
      </c>
      <c r="E381" s="506"/>
      <c r="F381" s="409"/>
      <c r="G381" s="410"/>
      <c r="H381" s="494"/>
      <c r="I381" s="464">
        <v>3446</v>
      </c>
      <c r="J381" s="408"/>
      <c r="K381" s="464"/>
      <c r="L381" s="290">
        <f>+J381</f>
        <v>0</v>
      </c>
      <c r="M381" s="411"/>
      <c r="N381" s="440"/>
      <c r="O381" s="436"/>
      <c r="P381" s="409"/>
      <c r="Q381" s="409"/>
      <c r="R381" s="409"/>
      <c r="S381" s="409"/>
      <c r="T381" s="409"/>
      <c r="U381" s="409"/>
      <c r="V381" s="409"/>
      <c r="W381" s="522"/>
      <c r="X381" s="412"/>
      <c r="Y381" s="409"/>
      <c r="Z381" s="409"/>
      <c r="AA381" s="409"/>
      <c r="AB381" s="409"/>
      <c r="AC381" s="409"/>
      <c r="AD381" s="409"/>
      <c r="AE381" s="409"/>
      <c r="AF381" s="413"/>
      <c r="AG381" s="293"/>
      <c r="AH381" s="293"/>
      <c r="AI381" s="293"/>
      <c r="AJ381" s="293"/>
      <c r="AK381" s="293"/>
      <c r="AL381" s="293"/>
      <c r="AM381" s="293"/>
      <c r="AN381" s="293"/>
      <c r="AO381" s="293"/>
      <c r="AP381" s="293"/>
      <c r="AQ381" s="293"/>
      <c r="AR381" s="293"/>
      <c r="AS381" s="293"/>
      <c r="AT381" s="293"/>
      <c r="AU381" s="293"/>
      <c r="AV381" s="293"/>
      <c r="AW381" s="293"/>
      <c r="AX381" s="293"/>
      <c r="AY381" s="293"/>
      <c r="AZ381" s="293"/>
      <c r="BA381" s="293"/>
      <c r="BB381" s="293"/>
      <c r="BC381" s="293"/>
      <c r="BD381" s="293"/>
      <c r="BE381" s="293"/>
      <c r="BF381" s="293"/>
      <c r="BG381" s="293"/>
      <c r="BH381" s="293"/>
      <c r="BI381" s="293"/>
      <c r="BJ381" s="293"/>
      <c r="BK381" s="293"/>
      <c r="BL381" s="293"/>
      <c r="BM381" s="293"/>
      <c r="BN381" s="293"/>
      <c r="BO381" s="293"/>
      <c r="BP381" s="293"/>
      <c r="BQ381" s="293"/>
      <c r="BR381" s="293"/>
      <c r="BS381" s="293"/>
      <c r="BT381" s="293"/>
      <c r="BU381" s="293"/>
      <c r="BV381" s="293"/>
      <c r="BW381" s="293"/>
      <c r="BX381" s="293"/>
      <c r="BY381" s="293"/>
      <c r="BZ381" s="293"/>
      <c r="CA381" s="293"/>
      <c r="CB381" s="293"/>
      <c r="CC381" s="293"/>
      <c r="CD381" s="293"/>
      <c r="CE381" s="293"/>
      <c r="CF381" s="293"/>
      <c r="CG381" s="293"/>
      <c r="CH381" s="293"/>
      <c r="CI381" s="293"/>
      <c r="CJ381" s="293"/>
      <c r="CK381" s="293"/>
      <c r="CL381" s="293"/>
      <c r="CM381" s="293"/>
      <c r="CN381" s="293"/>
      <c r="CO381" s="293"/>
      <c r="CP381" s="293"/>
      <c r="CQ381" s="293"/>
      <c r="CR381" s="293"/>
      <c r="CS381" s="293"/>
      <c r="CT381" s="293"/>
      <c r="CU381" s="293"/>
      <c r="CV381" s="293"/>
      <c r="CW381" s="293"/>
      <c r="CX381" s="293"/>
      <c r="CY381" s="293"/>
    </row>
    <row r="382" spans="1:103" s="351" customFormat="1" ht="15.75" x14ac:dyDescent="0.25">
      <c r="A382" s="345" t="s">
        <v>608</v>
      </c>
      <c r="B382" s="474" t="s">
        <v>165</v>
      </c>
      <c r="C382" s="430">
        <v>2593.9999999999995</v>
      </c>
      <c r="D382" s="455">
        <f t="shared" si="159"/>
        <v>2344.152</v>
      </c>
      <c r="E382" s="505">
        <v>3694.61</v>
      </c>
      <c r="F382" s="455">
        <f>+L382</f>
        <v>2424.09</v>
      </c>
      <c r="G382" s="292">
        <f t="shared" si="151"/>
        <v>0.96702350160266326</v>
      </c>
      <c r="H382" s="489">
        <f>+F382/C382</f>
        <v>0.93449884348496548</v>
      </c>
      <c r="I382" s="349">
        <v>3573</v>
      </c>
      <c r="J382" s="347">
        <f t="shared" si="135"/>
        <v>2344.152</v>
      </c>
      <c r="K382" s="291"/>
      <c r="L382" s="291">
        <f t="shared" si="157"/>
        <v>2424.09</v>
      </c>
      <c r="M382" s="348">
        <f>+J382/L382</f>
        <v>0.96702350160266326</v>
      </c>
      <c r="N382" s="392">
        <f>+L382/I382</f>
        <v>0.67844668345927794</v>
      </c>
      <c r="O382" s="430">
        <f>+X382*1.01</f>
        <v>1947.28</v>
      </c>
      <c r="P382" s="455"/>
      <c r="Q382" s="455">
        <f>+Z382*0.8</f>
        <v>396.87200000000001</v>
      </c>
      <c r="R382" s="455"/>
      <c r="S382" s="455"/>
      <c r="T382" s="455"/>
      <c r="U382" s="455"/>
      <c r="V382" s="455"/>
      <c r="W382" s="350"/>
      <c r="X382" s="349">
        <v>1928</v>
      </c>
      <c r="Y382" s="455"/>
      <c r="Z382" s="455">
        <v>496.09</v>
      </c>
      <c r="AA382" s="455"/>
      <c r="AB382" s="455"/>
      <c r="AC382" s="455"/>
      <c r="AD382" s="455"/>
      <c r="AE382" s="455"/>
      <c r="AF382" s="359"/>
      <c r="AG382" s="293"/>
      <c r="AH382" s="293"/>
      <c r="AI382" s="293"/>
      <c r="AJ382" s="293"/>
      <c r="AK382" s="293"/>
      <c r="AL382" s="293"/>
      <c r="AM382" s="293"/>
      <c r="AN382" s="293"/>
      <c r="AO382" s="293"/>
      <c r="AP382" s="293"/>
      <c r="AQ382" s="293"/>
      <c r="AR382" s="293"/>
      <c r="AS382" s="293"/>
      <c r="AT382" s="293"/>
      <c r="AU382" s="293"/>
      <c r="AV382" s="293"/>
      <c r="AW382" s="293"/>
      <c r="AX382" s="293"/>
      <c r="AY382" s="293"/>
      <c r="AZ382" s="293"/>
      <c r="BA382" s="293"/>
      <c r="BB382" s="293"/>
      <c r="BC382" s="293"/>
      <c r="BD382" s="293"/>
      <c r="BE382" s="293"/>
      <c r="BF382" s="293"/>
      <c r="BG382" s="293"/>
      <c r="BH382" s="293"/>
      <c r="BI382" s="293"/>
      <c r="BJ382" s="293"/>
      <c r="BK382" s="293"/>
      <c r="BL382" s="293"/>
      <c r="BM382" s="293"/>
      <c r="BN382" s="293"/>
      <c r="BO382" s="293"/>
      <c r="BP382" s="293"/>
      <c r="BQ382" s="293"/>
      <c r="BR382" s="293"/>
      <c r="BS382" s="293"/>
      <c r="BT382" s="293"/>
      <c r="BU382" s="293"/>
      <c r="BV382" s="293"/>
      <c r="BW382" s="293"/>
      <c r="BX382" s="293"/>
      <c r="BY382" s="293"/>
      <c r="BZ382" s="293"/>
      <c r="CA382" s="293"/>
      <c r="CB382" s="293"/>
      <c r="CC382" s="293"/>
      <c r="CD382" s="293"/>
      <c r="CE382" s="293"/>
      <c r="CF382" s="293"/>
      <c r="CG382" s="293"/>
      <c r="CH382" s="293"/>
      <c r="CI382" s="293"/>
      <c r="CJ382" s="293"/>
      <c r="CK382" s="293"/>
      <c r="CL382" s="293"/>
      <c r="CM382" s="293"/>
      <c r="CN382" s="293"/>
      <c r="CO382" s="293"/>
      <c r="CP382" s="293"/>
      <c r="CQ382" s="293"/>
      <c r="CR382" s="293"/>
      <c r="CS382" s="293"/>
      <c r="CT382" s="293"/>
      <c r="CU382" s="293"/>
      <c r="CV382" s="293"/>
      <c r="CW382" s="293"/>
      <c r="CX382" s="293"/>
      <c r="CY382" s="293"/>
    </row>
    <row r="383" spans="1:103" s="351" customFormat="1" ht="15.75" x14ac:dyDescent="0.25">
      <c r="A383" s="407"/>
      <c r="B383" s="483" t="s">
        <v>1341</v>
      </c>
      <c r="C383" s="469">
        <v>866.28</v>
      </c>
      <c r="D383" s="409">
        <f t="shared" si="159"/>
        <v>0</v>
      </c>
      <c r="E383" s="506"/>
      <c r="F383" s="409"/>
      <c r="G383" s="410"/>
      <c r="H383" s="494"/>
      <c r="I383" s="464">
        <v>979</v>
      </c>
      <c r="J383" s="408"/>
      <c r="K383" s="464"/>
      <c r="L383" s="290">
        <f>+J383</f>
        <v>0</v>
      </c>
      <c r="M383" s="411"/>
      <c r="N383" s="440"/>
      <c r="O383" s="436"/>
      <c r="P383" s="409"/>
      <c r="Q383" s="409"/>
      <c r="R383" s="409"/>
      <c r="S383" s="409"/>
      <c r="T383" s="409"/>
      <c r="U383" s="409"/>
      <c r="V383" s="409"/>
      <c r="W383" s="522"/>
      <c r="X383" s="412"/>
      <c r="Y383" s="409"/>
      <c r="Z383" s="409"/>
      <c r="AA383" s="409"/>
      <c r="AB383" s="409"/>
      <c r="AC383" s="409"/>
      <c r="AD383" s="409"/>
      <c r="AE383" s="409"/>
      <c r="AF383" s="413"/>
      <c r="AG383" s="293"/>
      <c r="AH383" s="293"/>
      <c r="AI383" s="293"/>
      <c r="AJ383" s="293"/>
      <c r="AK383" s="293"/>
      <c r="AL383" s="293"/>
      <c r="AM383" s="293"/>
      <c r="AN383" s="293"/>
      <c r="AO383" s="293"/>
      <c r="AP383" s="293"/>
      <c r="AQ383" s="293"/>
      <c r="AR383" s="293"/>
      <c r="AS383" s="293"/>
      <c r="AT383" s="293"/>
      <c r="AU383" s="293"/>
      <c r="AV383" s="293"/>
      <c r="AW383" s="293"/>
      <c r="AX383" s="293"/>
      <c r="AY383" s="293"/>
      <c r="AZ383" s="293"/>
      <c r="BA383" s="293"/>
      <c r="BB383" s="293"/>
      <c r="BC383" s="293"/>
      <c r="BD383" s="293"/>
      <c r="BE383" s="293"/>
      <c r="BF383" s="293"/>
      <c r="BG383" s="293"/>
      <c r="BH383" s="293"/>
      <c r="BI383" s="293"/>
      <c r="BJ383" s="293"/>
      <c r="BK383" s="293"/>
      <c r="BL383" s="293"/>
      <c r="BM383" s="293"/>
      <c r="BN383" s="293"/>
      <c r="BO383" s="293"/>
      <c r="BP383" s="293"/>
      <c r="BQ383" s="293"/>
      <c r="BR383" s="293"/>
      <c r="BS383" s="293"/>
      <c r="BT383" s="293"/>
      <c r="BU383" s="293"/>
      <c r="BV383" s="293"/>
      <c r="BW383" s="293"/>
      <c r="BX383" s="293"/>
      <c r="BY383" s="293"/>
      <c r="BZ383" s="293"/>
      <c r="CA383" s="293"/>
      <c r="CB383" s="293"/>
      <c r="CC383" s="293"/>
      <c r="CD383" s="293"/>
      <c r="CE383" s="293"/>
      <c r="CF383" s="293"/>
      <c r="CG383" s="293"/>
      <c r="CH383" s="293"/>
      <c r="CI383" s="293"/>
      <c r="CJ383" s="293"/>
      <c r="CK383" s="293"/>
      <c r="CL383" s="293"/>
      <c r="CM383" s="293"/>
      <c r="CN383" s="293"/>
      <c r="CO383" s="293"/>
      <c r="CP383" s="293"/>
      <c r="CQ383" s="293"/>
      <c r="CR383" s="293"/>
      <c r="CS383" s="293"/>
      <c r="CT383" s="293"/>
      <c r="CU383" s="293"/>
      <c r="CV383" s="293"/>
      <c r="CW383" s="293"/>
      <c r="CX383" s="293"/>
      <c r="CY383" s="293"/>
    </row>
    <row r="384" spans="1:103" s="351" customFormat="1" ht="15.75" x14ac:dyDescent="0.25">
      <c r="A384" s="345" t="s">
        <v>609</v>
      </c>
      <c r="B384" s="474" t="s">
        <v>177</v>
      </c>
      <c r="C384" s="430">
        <v>1557.6899999999998</v>
      </c>
      <c r="D384" s="455">
        <f t="shared" si="159"/>
        <v>1460.7845</v>
      </c>
      <c r="E384" s="505">
        <v>1578.46</v>
      </c>
      <c r="F384" s="455">
        <f>+L384</f>
        <v>1510.6</v>
      </c>
      <c r="G384" s="292">
        <f t="shared" si="151"/>
        <v>0.9670227062094533</v>
      </c>
      <c r="H384" s="489">
        <f>+F384/C384</f>
        <v>0.9697693379298834</v>
      </c>
      <c r="I384" s="349">
        <v>1842</v>
      </c>
      <c r="J384" s="347">
        <f t="shared" si="135"/>
        <v>1460.7845</v>
      </c>
      <c r="K384" s="291"/>
      <c r="L384" s="291">
        <f t="shared" si="157"/>
        <v>1510.6</v>
      </c>
      <c r="M384" s="348">
        <f>+J384/L384</f>
        <v>0.9670227062094533</v>
      </c>
      <c r="N384" s="392">
        <f>+L384/I384</f>
        <v>0.82008686210640602</v>
      </c>
      <c r="O384" s="430">
        <f>+X384*1.01</f>
        <v>1213.4645</v>
      </c>
      <c r="P384" s="455"/>
      <c r="Q384" s="455">
        <f>+Z384*0.8</f>
        <v>247.32</v>
      </c>
      <c r="R384" s="455"/>
      <c r="S384" s="455"/>
      <c r="T384" s="455"/>
      <c r="U384" s="455"/>
      <c r="V384" s="455"/>
      <c r="W384" s="350"/>
      <c r="X384" s="349">
        <v>1201.45</v>
      </c>
      <c r="Y384" s="455"/>
      <c r="Z384" s="455">
        <v>309.14999999999998</v>
      </c>
      <c r="AA384" s="455"/>
      <c r="AB384" s="455"/>
      <c r="AC384" s="455"/>
      <c r="AD384" s="455"/>
      <c r="AE384" s="455"/>
      <c r="AF384" s="359"/>
      <c r="AG384" s="293"/>
      <c r="AH384" s="293"/>
      <c r="AI384" s="293"/>
      <c r="AJ384" s="293"/>
      <c r="AK384" s="293"/>
      <c r="AL384" s="293"/>
      <c r="AM384" s="293"/>
      <c r="AN384" s="293"/>
      <c r="AO384" s="293"/>
      <c r="AP384" s="293"/>
      <c r="AQ384" s="293"/>
      <c r="AR384" s="293"/>
      <c r="AS384" s="293"/>
      <c r="AT384" s="293"/>
      <c r="AU384" s="293"/>
      <c r="AV384" s="293"/>
      <c r="AW384" s="293"/>
      <c r="AX384" s="293"/>
      <c r="AY384" s="293"/>
      <c r="AZ384" s="293"/>
      <c r="BA384" s="293"/>
      <c r="BB384" s="293"/>
      <c r="BC384" s="293"/>
      <c r="BD384" s="293"/>
      <c r="BE384" s="293"/>
      <c r="BF384" s="293"/>
      <c r="BG384" s="293"/>
      <c r="BH384" s="293"/>
      <c r="BI384" s="293"/>
      <c r="BJ384" s="293"/>
      <c r="BK384" s="293"/>
      <c r="BL384" s="293"/>
      <c r="BM384" s="293"/>
      <c r="BN384" s="293"/>
      <c r="BO384" s="293"/>
      <c r="BP384" s="293"/>
      <c r="BQ384" s="293"/>
      <c r="BR384" s="293"/>
      <c r="BS384" s="293"/>
      <c r="BT384" s="293"/>
      <c r="BU384" s="293"/>
      <c r="BV384" s="293"/>
      <c r="BW384" s="293"/>
      <c r="BX384" s="293"/>
      <c r="BY384" s="293"/>
      <c r="BZ384" s="293"/>
      <c r="CA384" s="293"/>
      <c r="CB384" s="293"/>
      <c r="CC384" s="293"/>
      <c r="CD384" s="293"/>
      <c r="CE384" s="293"/>
      <c r="CF384" s="293"/>
      <c r="CG384" s="293"/>
      <c r="CH384" s="293"/>
      <c r="CI384" s="293"/>
      <c r="CJ384" s="293"/>
      <c r="CK384" s="293"/>
      <c r="CL384" s="293"/>
      <c r="CM384" s="293"/>
      <c r="CN384" s="293"/>
      <c r="CO384" s="293"/>
      <c r="CP384" s="293"/>
      <c r="CQ384" s="293"/>
      <c r="CR384" s="293"/>
      <c r="CS384" s="293"/>
      <c r="CT384" s="293"/>
      <c r="CU384" s="293"/>
      <c r="CV384" s="293"/>
      <c r="CW384" s="293"/>
      <c r="CX384" s="293"/>
      <c r="CY384" s="293"/>
    </row>
    <row r="385" spans="1:103" s="351" customFormat="1" ht="15.75" x14ac:dyDescent="0.25">
      <c r="A385" s="407"/>
      <c r="B385" s="483" t="s">
        <v>1341</v>
      </c>
      <c r="C385" s="469">
        <v>216.39</v>
      </c>
      <c r="D385" s="409"/>
      <c r="E385" s="506"/>
      <c r="F385" s="409"/>
      <c r="G385" s="410"/>
      <c r="H385" s="494"/>
      <c r="I385" s="464">
        <v>284</v>
      </c>
      <c r="J385" s="408"/>
      <c r="K385" s="464"/>
      <c r="L385" s="290">
        <f>+J385</f>
        <v>0</v>
      </c>
      <c r="M385" s="411"/>
      <c r="N385" s="440"/>
      <c r="O385" s="436"/>
      <c r="P385" s="409"/>
      <c r="Q385" s="409"/>
      <c r="R385" s="409"/>
      <c r="S385" s="409"/>
      <c r="T385" s="409"/>
      <c r="U385" s="409"/>
      <c r="V385" s="409"/>
      <c r="W385" s="522"/>
      <c r="X385" s="412"/>
      <c r="Y385" s="409"/>
      <c r="Z385" s="409"/>
      <c r="AA385" s="409"/>
      <c r="AB385" s="409"/>
      <c r="AC385" s="409"/>
      <c r="AD385" s="409"/>
      <c r="AE385" s="409"/>
      <c r="AF385" s="413"/>
      <c r="AG385" s="293"/>
      <c r="AH385" s="293"/>
      <c r="AI385" s="293"/>
      <c r="AJ385" s="293"/>
      <c r="AK385" s="293"/>
      <c r="AL385" s="293"/>
      <c r="AM385" s="293"/>
      <c r="AN385" s="293"/>
      <c r="AO385" s="293"/>
      <c r="AP385" s="293"/>
      <c r="AQ385" s="293"/>
      <c r="AR385" s="293"/>
      <c r="AS385" s="293"/>
      <c r="AT385" s="293"/>
      <c r="AU385" s="293"/>
      <c r="AV385" s="293"/>
      <c r="AW385" s="293"/>
      <c r="AX385" s="293"/>
      <c r="AY385" s="293"/>
      <c r="AZ385" s="293"/>
      <c r="BA385" s="293"/>
      <c r="BB385" s="293"/>
      <c r="BC385" s="293"/>
      <c r="BD385" s="293"/>
      <c r="BE385" s="293"/>
      <c r="BF385" s="293"/>
      <c r="BG385" s="293"/>
      <c r="BH385" s="293"/>
      <c r="BI385" s="293"/>
      <c r="BJ385" s="293"/>
      <c r="BK385" s="293"/>
      <c r="BL385" s="293"/>
      <c r="BM385" s="293"/>
      <c r="BN385" s="293"/>
      <c r="BO385" s="293"/>
      <c r="BP385" s="293"/>
      <c r="BQ385" s="293"/>
      <c r="BR385" s="293"/>
      <c r="BS385" s="293"/>
      <c r="BT385" s="293"/>
      <c r="BU385" s="293"/>
      <c r="BV385" s="293"/>
      <c r="BW385" s="293"/>
      <c r="BX385" s="293"/>
      <c r="BY385" s="293"/>
      <c r="BZ385" s="293"/>
      <c r="CA385" s="293"/>
      <c r="CB385" s="293"/>
      <c r="CC385" s="293"/>
      <c r="CD385" s="293"/>
      <c r="CE385" s="293"/>
      <c r="CF385" s="293"/>
      <c r="CG385" s="293"/>
      <c r="CH385" s="293"/>
      <c r="CI385" s="293"/>
      <c r="CJ385" s="293"/>
      <c r="CK385" s="293"/>
      <c r="CL385" s="293"/>
      <c r="CM385" s="293"/>
      <c r="CN385" s="293"/>
      <c r="CO385" s="293"/>
      <c r="CP385" s="293"/>
      <c r="CQ385" s="293"/>
      <c r="CR385" s="293"/>
      <c r="CS385" s="293"/>
      <c r="CT385" s="293"/>
      <c r="CU385" s="293"/>
      <c r="CV385" s="293"/>
      <c r="CW385" s="293"/>
      <c r="CX385" s="293"/>
      <c r="CY385" s="293"/>
    </row>
    <row r="386" spans="1:103" s="351" customFormat="1" ht="15.75" x14ac:dyDescent="0.25">
      <c r="A386" s="345" t="s">
        <v>610</v>
      </c>
      <c r="B386" s="474" t="s">
        <v>179</v>
      </c>
      <c r="C386" s="430">
        <v>2110.5499999999997</v>
      </c>
      <c r="D386" s="455">
        <f t="shared" si="159"/>
        <v>2499.3483999999999</v>
      </c>
      <c r="E386" s="505">
        <v>4433.34</v>
      </c>
      <c r="F386" s="455">
        <f>+L386</f>
        <v>2584.58</v>
      </c>
      <c r="G386" s="292">
        <f t="shared" si="151"/>
        <v>0.96702303662490618</v>
      </c>
      <c r="H386" s="489">
        <f>+F386/C386</f>
        <v>1.224600222690768</v>
      </c>
      <c r="I386" s="349">
        <v>2785</v>
      </c>
      <c r="J386" s="347">
        <f t="shared" ref="J386:J400" si="160">+O386+P386+Q386+R386+S386+T386+U386+V386+W386</f>
        <v>2499.3483999999999</v>
      </c>
      <c r="K386" s="291"/>
      <c r="L386" s="291">
        <f t="shared" si="157"/>
        <v>2584.58</v>
      </c>
      <c r="M386" s="348">
        <f>+J386/L386</f>
        <v>0.96702303662490618</v>
      </c>
      <c r="N386" s="392">
        <f>+L386/I386</f>
        <v>0.92803590664272884</v>
      </c>
      <c r="O386" s="430">
        <f>+X386*1.01</f>
        <v>2076.1963999999998</v>
      </c>
      <c r="P386" s="455"/>
      <c r="Q386" s="455">
        <f>+Z386*0.8</f>
        <v>423.15200000000004</v>
      </c>
      <c r="R386" s="455"/>
      <c r="S386" s="455"/>
      <c r="T386" s="455"/>
      <c r="U386" s="455"/>
      <c r="V386" s="455"/>
      <c r="W386" s="350"/>
      <c r="X386" s="349">
        <v>2055.64</v>
      </c>
      <c r="Y386" s="455"/>
      <c r="Z386" s="455">
        <v>528.94000000000005</v>
      </c>
      <c r="AA386" s="455"/>
      <c r="AB386" s="455"/>
      <c r="AC386" s="455"/>
      <c r="AD386" s="455"/>
      <c r="AE386" s="455"/>
      <c r="AF386" s="359"/>
      <c r="AG386" s="293"/>
      <c r="AH386" s="293"/>
      <c r="AI386" s="293"/>
      <c r="AJ386" s="293"/>
      <c r="AK386" s="293"/>
      <c r="AL386" s="293"/>
      <c r="AM386" s="293"/>
      <c r="AN386" s="293"/>
      <c r="AO386" s="293"/>
      <c r="AP386" s="293"/>
      <c r="AQ386" s="293"/>
      <c r="AR386" s="293"/>
      <c r="AS386" s="293"/>
      <c r="AT386" s="293"/>
      <c r="AU386" s="293"/>
      <c r="AV386" s="293"/>
      <c r="AW386" s="293"/>
      <c r="AX386" s="293"/>
      <c r="AY386" s="293"/>
      <c r="AZ386" s="293"/>
      <c r="BA386" s="293"/>
      <c r="BB386" s="293"/>
      <c r="BC386" s="293"/>
      <c r="BD386" s="293"/>
      <c r="BE386" s="293"/>
      <c r="BF386" s="293"/>
      <c r="BG386" s="293"/>
      <c r="BH386" s="293"/>
      <c r="BI386" s="293"/>
      <c r="BJ386" s="293"/>
      <c r="BK386" s="293"/>
      <c r="BL386" s="293"/>
      <c r="BM386" s="293"/>
      <c r="BN386" s="293"/>
      <c r="BO386" s="293"/>
      <c r="BP386" s="293"/>
      <c r="BQ386" s="293"/>
      <c r="BR386" s="293"/>
      <c r="BS386" s="293"/>
      <c r="BT386" s="293"/>
      <c r="BU386" s="293"/>
      <c r="BV386" s="293"/>
      <c r="BW386" s="293"/>
      <c r="BX386" s="293"/>
      <c r="BY386" s="293"/>
      <c r="BZ386" s="293"/>
      <c r="CA386" s="293"/>
      <c r="CB386" s="293"/>
      <c r="CC386" s="293"/>
      <c r="CD386" s="293"/>
      <c r="CE386" s="293"/>
      <c r="CF386" s="293"/>
      <c r="CG386" s="293"/>
      <c r="CH386" s="293"/>
      <c r="CI386" s="293"/>
      <c r="CJ386" s="293"/>
      <c r="CK386" s="293"/>
      <c r="CL386" s="293"/>
      <c r="CM386" s="293"/>
      <c r="CN386" s="293"/>
      <c r="CO386" s="293"/>
      <c r="CP386" s="293"/>
      <c r="CQ386" s="293"/>
      <c r="CR386" s="293"/>
      <c r="CS386" s="293"/>
      <c r="CT386" s="293"/>
      <c r="CU386" s="293"/>
      <c r="CV386" s="293"/>
      <c r="CW386" s="293"/>
      <c r="CX386" s="293"/>
      <c r="CY386" s="293"/>
    </row>
    <row r="387" spans="1:103" s="351" customFormat="1" ht="15.75" x14ac:dyDescent="0.25">
      <c r="A387" s="407"/>
      <c r="B387" s="483" t="s">
        <v>1341</v>
      </c>
      <c r="C387" s="469">
        <v>-31.5</v>
      </c>
      <c r="D387" s="409"/>
      <c r="E387" s="110"/>
      <c r="F387" s="409"/>
      <c r="G387" s="410"/>
      <c r="H387" s="494"/>
      <c r="I387" s="464">
        <v>675</v>
      </c>
      <c r="J387" s="408"/>
      <c r="K387" s="464"/>
      <c r="L387" s="290">
        <f>+J387</f>
        <v>0</v>
      </c>
      <c r="M387" s="411"/>
      <c r="N387" s="440"/>
      <c r="O387" s="436"/>
      <c r="P387" s="409"/>
      <c r="Q387" s="409"/>
      <c r="R387" s="409"/>
      <c r="S387" s="409"/>
      <c r="T387" s="409"/>
      <c r="U387" s="409"/>
      <c r="V387" s="409"/>
      <c r="W387" s="522"/>
      <c r="X387" s="412"/>
      <c r="Y387" s="409"/>
      <c r="Z387" s="409"/>
      <c r="AA387" s="409"/>
      <c r="AB387" s="409"/>
      <c r="AC387" s="409"/>
      <c r="AD387" s="409"/>
      <c r="AE387" s="409"/>
      <c r="AF387" s="413"/>
      <c r="AG387" s="293"/>
      <c r="AH387" s="293"/>
      <c r="AI387" s="293"/>
      <c r="AJ387" s="293"/>
      <c r="AK387" s="293"/>
      <c r="AL387" s="293"/>
      <c r="AM387" s="293"/>
      <c r="AN387" s="293"/>
      <c r="AO387" s="293"/>
      <c r="AP387" s="293"/>
      <c r="AQ387" s="293"/>
      <c r="AR387" s="293"/>
      <c r="AS387" s="293"/>
      <c r="AT387" s="293"/>
      <c r="AU387" s="293"/>
      <c r="AV387" s="293"/>
      <c r="AW387" s="293"/>
      <c r="AX387" s="293"/>
      <c r="AY387" s="293"/>
      <c r="AZ387" s="293"/>
      <c r="BA387" s="293"/>
      <c r="BB387" s="293"/>
      <c r="BC387" s="293"/>
      <c r="BD387" s="293"/>
      <c r="BE387" s="293"/>
      <c r="BF387" s="293"/>
      <c r="BG387" s="293"/>
      <c r="BH387" s="293"/>
      <c r="BI387" s="293"/>
      <c r="BJ387" s="293"/>
      <c r="BK387" s="293"/>
      <c r="BL387" s="293"/>
      <c r="BM387" s="293"/>
      <c r="BN387" s="293"/>
      <c r="BO387" s="293"/>
      <c r="BP387" s="293"/>
      <c r="BQ387" s="293"/>
      <c r="BR387" s="293"/>
      <c r="BS387" s="293"/>
      <c r="BT387" s="293"/>
      <c r="BU387" s="293"/>
      <c r="BV387" s="293"/>
      <c r="BW387" s="293"/>
      <c r="BX387" s="293"/>
      <c r="BY387" s="293"/>
      <c r="BZ387" s="293"/>
      <c r="CA387" s="293"/>
      <c r="CB387" s="293"/>
      <c r="CC387" s="293"/>
      <c r="CD387" s="293"/>
      <c r="CE387" s="293"/>
      <c r="CF387" s="293"/>
      <c r="CG387" s="293"/>
      <c r="CH387" s="293"/>
      <c r="CI387" s="293"/>
      <c r="CJ387" s="293"/>
      <c r="CK387" s="293"/>
      <c r="CL387" s="293"/>
      <c r="CM387" s="293"/>
      <c r="CN387" s="293"/>
      <c r="CO387" s="293"/>
      <c r="CP387" s="293"/>
      <c r="CQ387" s="293"/>
      <c r="CR387" s="293"/>
      <c r="CS387" s="293"/>
      <c r="CT387" s="293"/>
      <c r="CU387" s="293"/>
      <c r="CV387" s="293"/>
      <c r="CW387" s="293"/>
      <c r="CX387" s="293"/>
      <c r="CY387" s="293"/>
    </row>
    <row r="388" spans="1:103" s="351" customFormat="1" ht="15.75" x14ac:dyDescent="0.25">
      <c r="A388" s="345" t="s">
        <v>611</v>
      </c>
      <c r="B388" s="474" t="s">
        <v>183</v>
      </c>
      <c r="C388" s="430">
        <v>382</v>
      </c>
      <c r="D388" s="455">
        <f t="shared" si="159"/>
        <v>1288.0559000000003</v>
      </c>
      <c r="E388" s="505">
        <v>1963.55</v>
      </c>
      <c r="F388" s="455">
        <f>+L388</f>
        <v>1331.98</v>
      </c>
      <c r="G388" s="292">
        <f t="shared" si="151"/>
        <v>0.96702345380561294</v>
      </c>
      <c r="H388" s="489">
        <f>+F388/C388</f>
        <v>3.4868586387434557</v>
      </c>
      <c r="I388" s="349">
        <v>3039</v>
      </c>
      <c r="J388" s="347">
        <f t="shared" si="160"/>
        <v>1288.0559000000003</v>
      </c>
      <c r="K388" s="291"/>
      <c r="L388" s="291">
        <f t="shared" si="157"/>
        <v>1331.98</v>
      </c>
      <c r="M388" s="348">
        <f>+J388/L388</f>
        <v>0.96702345380561294</v>
      </c>
      <c r="N388" s="392">
        <f>+L388/I388</f>
        <v>0.43829549193813755</v>
      </c>
      <c r="O388" s="430">
        <f>+X388*1.01</f>
        <v>1069.9839000000002</v>
      </c>
      <c r="P388" s="455"/>
      <c r="Q388" s="455">
        <f>+Z388*0.8</f>
        <v>218.072</v>
      </c>
      <c r="R388" s="455"/>
      <c r="S388" s="455"/>
      <c r="T388" s="455"/>
      <c r="U388" s="455"/>
      <c r="V388" s="455"/>
      <c r="W388" s="350"/>
      <c r="X388" s="349">
        <v>1059.3900000000001</v>
      </c>
      <c r="Y388" s="455"/>
      <c r="Z388" s="455">
        <v>272.58999999999997</v>
      </c>
      <c r="AA388" s="455"/>
      <c r="AB388" s="455"/>
      <c r="AC388" s="455"/>
      <c r="AD388" s="455"/>
      <c r="AE388" s="455"/>
      <c r="AF388" s="359"/>
      <c r="AG388" s="293"/>
      <c r="AH388" s="293"/>
      <c r="AI388" s="293"/>
      <c r="AJ388" s="293"/>
      <c r="AK388" s="293"/>
      <c r="AL388" s="293"/>
      <c r="AM388" s="293"/>
      <c r="AN388" s="293"/>
      <c r="AO388" s="293"/>
      <c r="AP388" s="293"/>
      <c r="AQ388" s="293"/>
      <c r="AR388" s="293"/>
      <c r="AS388" s="293"/>
      <c r="AT388" s="293"/>
      <c r="AU388" s="293"/>
      <c r="AV388" s="293"/>
      <c r="AW388" s="293"/>
      <c r="AX388" s="293"/>
      <c r="AY388" s="293"/>
      <c r="AZ388" s="293"/>
      <c r="BA388" s="293"/>
      <c r="BB388" s="293"/>
      <c r="BC388" s="293"/>
      <c r="BD388" s="293"/>
      <c r="BE388" s="293"/>
      <c r="BF388" s="293"/>
      <c r="BG388" s="293"/>
      <c r="BH388" s="293"/>
      <c r="BI388" s="293"/>
      <c r="BJ388" s="293"/>
      <c r="BK388" s="293"/>
      <c r="BL388" s="293"/>
      <c r="BM388" s="293"/>
      <c r="BN388" s="293"/>
      <c r="BO388" s="293"/>
      <c r="BP388" s="293"/>
      <c r="BQ388" s="293"/>
      <c r="BR388" s="293"/>
      <c r="BS388" s="293"/>
      <c r="BT388" s="293"/>
      <c r="BU388" s="293"/>
      <c r="BV388" s="293"/>
      <c r="BW388" s="293"/>
      <c r="BX388" s="293"/>
      <c r="BY388" s="293"/>
      <c r="BZ388" s="293"/>
      <c r="CA388" s="293"/>
      <c r="CB388" s="293"/>
      <c r="CC388" s="293"/>
      <c r="CD388" s="293"/>
      <c r="CE388" s="293"/>
      <c r="CF388" s="293"/>
      <c r="CG388" s="293"/>
      <c r="CH388" s="293"/>
      <c r="CI388" s="293"/>
      <c r="CJ388" s="293"/>
      <c r="CK388" s="293"/>
      <c r="CL388" s="293"/>
      <c r="CM388" s="293"/>
      <c r="CN388" s="293"/>
      <c r="CO388" s="293"/>
      <c r="CP388" s="293"/>
      <c r="CQ388" s="293"/>
      <c r="CR388" s="293"/>
      <c r="CS388" s="293"/>
      <c r="CT388" s="293"/>
      <c r="CU388" s="293"/>
      <c r="CV388" s="293"/>
      <c r="CW388" s="293"/>
      <c r="CX388" s="293"/>
      <c r="CY388" s="293"/>
    </row>
    <row r="389" spans="1:103" s="351" customFormat="1" ht="15.75" x14ac:dyDescent="0.25">
      <c r="A389" s="407"/>
      <c r="B389" s="483" t="s">
        <v>1341</v>
      </c>
      <c r="C389" s="469">
        <v>1661.14</v>
      </c>
      <c r="D389" s="409"/>
      <c r="E389" s="110"/>
      <c r="F389" s="409"/>
      <c r="G389" s="410"/>
      <c r="H389" s="494"/>
      <c r="I389" s="464">
        <v>2657</v>
      </c>
      <c r="J389" s="408"/>
      <c r="K389" s="464"/>
      <c r="L389" s="290">
        <f>+J389</f>
        <v>0</v>
      </c>
      <c r="M389" s="411"/>
      <c r="N389" s="440"/>
      <c r="O389" s="436"/>
      <c r="P389" s="409"/>
      <c r="Q389" s="409"/>
      <c r="R389" s="409"/>
      <c r="S389" s="409"/>
      <c r="T389" s="409"/>
      <c r="U389" s="409"/>
      <c r="V389" s="409"/>
      <c r="W389" s="522"/>
      <c r="X389" s="412"/>
      <c r="Y389" s="409"/>
      <c r="Z389" s="409"/>
      <c r="AA389" s="409"/>
      <c r="AB389" s="409"/>
      <c r="AC389" s="409"/>
      <c r="AD389" s="409"/>
      <c r="AE389" s="409"/>
      <c r="AF389" s="413"/>
      <c r="AG389" s="293"/>
      <c r="AH389" s="293"/>
      <c r="AI389" s="293"/>
      <c r="AJ389" s="293"/>
      <c r="AK389" s="293"/>
      <c r="AL389" s="293"/>
      <c r="AM389" s="293"/>
      <c r="AN389" s="293"/>
      <c r="AO389" s="293"/>
      <c r="AP389" s="293"/>
      <c r="AQ389" s="293"/>
      <c r="AR389" s="293"/>
      <c r="AS389" s="293"/>
      <c r="AT389" s="293"/>
      <c r="AU389" s="293"/>
      <c r="AV389" s="293"/>
      <c r="AW389" s="293"/>
      <c r="AX389" s="293"/>
      <c r="AY389" s="293"/>
      <c r="AZ389" s="293"/>
      <c r="BA389" s="293"/>
      <c r="BB389" s="293"/>
      <c r="BC389" s="293"/>
      <c r="BD389" s="293"/>
      <c r="BE389" s="293"/>
      <c r="BF389" s="293"/>
      <c r="BG389" s="293"/>
      <c r="BH389" s="293"/>
      <c r="BI389" s="293"/>
      <c r="BJ389" s="293"/>
      <c r="BK389" s="293"/>
      <c r="BL389" s="293"/>
      <c r="BM389" s="293"/>
      <c r="BN389" s="293"/>
      <c r="BO389" s="293"/>
      <c r="BP389" s="293"/>
      <c r="BQ389" s="293"/>
      <c r="BR389" s="293"/>
      <c r="BS389" s="293"/>
      <c r="BT389" s="293"/>
      <c r="BU389" s="293"/>
      <c r="BV389" s="293"/>
      <c r="BW389" s="293"/>
      <c r="BX389" s="293"/>
      <c r="BY389" s="293"/>
      <c r="BZ389" s="293"/>
      <c r="CA389" s="293"/>
      <c r="CB389" s="293"/>
      <c r="CC389" s="293"/>
      <c r="CD389" s="293"/>
      <c r="CE389" s="293"/>
      <c r="CF389" s="293"/>
      <c r="CG389" s="293"/>
      <c r="CH389" s="293"/>
      <c r="CI389" s="293"/>
      <c r="CJ389" s="293"/>
      <c r="CK389" s="293"/>
      <c r="CL389" s="293"/>
      <c r="CM389" s="293"/>
      <c r="CN389" s="293"/>
      <c r="CO389" s="293"/>
      <c r="CP389" s="293"/>
      <c r="CQ389" s="293"/>
      <c r="CR389" s="293"/>
      <c r="CS389" s="293"/>
      <c r="CT389" s="293"/>
      <c r="CU389" s="293"/>
      <c r="CV389" s="293"/>
      <c r="CW389" s="293"/>
      <c r="CX389" s="293"/>
      <c r="CY389" s="293"/>
    </row>
    <row r="390" spans="1:103" s="351" customFormat="1" ht="15.75" x14ac:dyDescent="0.25">
      <c r="A390" s="345" t="s">
        <v>612</v>
      </c>
      <c r="B390" s="474" t="s">
        <v>188</v>
      </c>
      <c r="C390" s="430">
        <v>1014.2</v>
      </c>
      <c r="D390" s="455">
        <f t="shared" si="159"/>
        <v>1341.1162999999999</v>
      </c>
      <c r="E390" s="505">
        <v>1762.08</v>
      </c>
      <c r="F390" s="455">
        <f>+L390</f>
        <v>1386.85</v>
      </c>
      <c r="G390" s="292">
        <f t="shared" si="151"/>
        <v>0.96702332624292464</v>
      </c>
      <c r="H390" s="489">
        <f>+F390/C390</f>
        <v>1.3674324590810489</v>
      </c>
      <c r="I390" s="349">
        <v>2500</v>
      </c>
      <c r="J390" s="347">
        <f t="shared" si="160"/>
        <v>1341.1162999999999</v>
      </c>
      <c r="K390" s="291"/>
      <c r="L390" s="291">
        <f t="shared" si="157"/>
        <v>1386.85</v>
      </c>
      <c r="M390" s="348">
        <f>+J390/L390</f>
        <v>0.96702332624292464</v>
      </c>
      <c r="N390" s="392">
        <f>+L390/I390</f>
        <v>0.55474000000000001</v>
      </c>
      <c r="O390" s="430">
        <f>+X390*1.01</f>
        <v>1114.0602999999999</v>
      </c>
      <c r="P390" s="455"/>
      <c r="Q390" s="455">
        <f>+Z390*0.8</f>
        <v>227.05600000000001</v>
      </c>
      <c r="R390" s="455"/>
      <c r="S390" s="455"/>
      <c r="T390" s="455"/>
      <c r="U390" s="455"/>
      <c r="V390" s="455"/>
      <c r="W390" s="350"/>
      <c r="X390" s="349">
        <v>1103.03</v>
      </c>
      <c r="Y390" s="455"/>
      <c r="Z390" s="455">
        <v>283.82</v>
      </c>
      <c r="AA390" s="455"/>
      <c r="AB390" s="455"/>
      <c r="AC390" s="455"/>
      <c r="AD390" s="455"/>
      <c r="AE390" s="455"/>
      <c r="AF390" s="359"/>
      <c r="AG390" s="293"/>
      <c r="AH390" s="293"/>
      <c r="AI390" s="293"/>
      <c r="AJ390" s="293"/>
      <c r="AK390" s="293"/>
      <c r="AL390" s="293"/>
      <c r="AM390" s="293"/>
      <c r="AN390" s="293"/>
      <c r="AO390" s="293"/>
      <c r="AP390" s="293"/>
      <c r="AQ390" s="293"/>
      <c r="AR390" s="293"/>
      <c r="AS390" s="293"/>
      <c r="AT390" s="293"/>
      <c r="AU390" s="293"/>
      <c r="AV390" s="293"/>
      <c r="AW390" s="293"/>
      <c r="AX390" s="293"/>
      <c r="AY390" s="293"/>
      <c r="AZ390" s="293"/>
      <c r="BA390" s="293"/>
      <c r="BB390" s="293"/>
      <c r="BC390" s="293"/>
      <c r="BD390" s="293"/>
      <c r="BE390" s="293"/>
      <c r="BF390" s="293"/>
      <c r="BG390" s="293"/>
      <c r="BH390" s="293"/>
      <c r="BI390" s="293"/>
      <c r="BJ390" s="293"/>
      <c r="BK390" s="293"/>
      <c r="BL390" s="293"/>
      <c r="BM390" s="293"/>
      <c r="BN390" s="293"/>
      <c r="BO390" s="293"/>
      <c r="BP390" s="293"/>
      <c r="BQ390" s="293"/>
      <c r="BR390" s="293"/>
      <c r="BS390" s="293"/>
      <c r="BT390" s="293"/>
      <c r="BU390" s="293"/>
      <c r="BV390" s="293"/>
      <c r="BW390" s="293"/>
      <c r="BX390" s="293"/>
      <c r="BY390" s="293"/>
      <c r="BZ390" s="293"/>
      <c r="CA390" s="293"/>
      <c r="CB390" s="293"/>
      <c r="CC390" s="293"/>
      <c r="CD390" s="293"/>
      <c r="CE390" s="293"/>
      <c r="CF390" s="293"/>
      <c r="CG390" s="293"/>
      <c r="CH390" s="293"/>
      <c r="CI390" s="293"/>
      <c r="CJ390" s="293"/>
      <c r="CK390" s="293"/>
      <c r="CL390" s="293"/>
      <c r="CM390" s="293"/>
      <c r="CN390" s="293"/>
      <c r="CO390" s="293"/>
      <c r="CP390" s="293"/>
      <c r="CQ390" s="293"/>
      <c r="CR390" s="293"/>
      <c r="CS390" s="293"/>
      <c r="CT390" s="293"/>
      <c r="CU390" s="293"/>
      <c r="CV390" s="293"/>
      <c r="CW390" s="293"/>
      <c r="CX390" s="293"/>
      <c r="CY390" s="293"/>
    </row>
    <row r="391" spans="1:103" s="351" customFormat="1" ht="15.75" x14ac:dyDescent="0.25">
      <c r="A391" s="407"/>
      <c r="B391" s="483" t="s">
        <v>1341</v>
      </c>
      <c r="C391" s="469">
        <v>1042.4000000000001</v>
      </c>
      <c r="D391" s="409"/>
      <c r="E391" s="110"/>
      <c r="F391" s="409"/>
      <c r="G391" s="410"/>
      <c r="H391" s="494"/>
      <c r="I391" s="464">
        <v>1486</v>
      </c>
      <c r="J391" s="408"/>
      <c r="K391" s="464"/>
      <c r="L391" s="290">
        <f>+J391</f>
        <v>0</v>
      </c>
      <c r="M391" s="411"/>
      <c r="N391" s="440"/>
      <c r="O391" s="436"/>
      <c r="P391" s="409"/>
      <c r="Q391" s="409"/>
      <c r="R391" s="409"/>
      <c r="S391" s="409"/>
      <c r="T391" s="409"/>
      <c r="U391" s="409"/>
      <c r="V391" s="409"/>
      <c r="W391" s="522"/>
      <c r="X391" s="412"/>
      <c r="Y391" s="409"/>
      <c r="Z391" s="409"/>
      <c r="AA391" s="409"/>
      <c r="AB391" s="409"/>
      <c r="AC391" s="409"/>
      <c r="AD391" s="409"/>
      <c r="AE391" s="409"/>
      <c r="AF391" s="413"/>
      <c r="AG391" s="293"/>
      <c r="AH391" s="293"/>
      <c r="AI391" s="293"/>
      <c r="AJ391" s="293"/>
      <c r="AK391" s="293"/>
      <c r="AL391" s="293"/>
      <c r="AM391" s="293"/>
      <c r="AN391" s="293"/>
      <c r="AO391" s="293"/>
      <c r="AP391" s="293"/>
      <c r="AQ391" s="293"/>
      <c r="AR391" s="293"/>
      <c r="AS391" s="293"/>
      <c r="AT391" s="293"/>
      <c r="AU391" s="293"/>
      <c r="AV391" s="293"/>
      <c r="AW391" s="293"/>
      <c r="AX391" s="293"/>
      <c r="AY391" s="293"/>
      <c r="AZ391" s="293"/>
      <c r="BA391" s="293"/>
      <c r="BB391" s="293"/>
      <c r="BC391" s="293"/>
      <c r="BD391" s="293"/>
      <c r="BE391" s="293"/>
      <c r="BF391" s="293"/>
      <c r="BG391" s="293"/>
      <c r="BH391" s="293"/>
      <c r="BI391" s="293"/>
      <c r="BJ391" s="293"/>
      <c r="BK391" s="293"/>
      <c r="BL391" s="293"/>
      <c r="BM391" s="293"/>
      <c r="BN391" s="293"/>
      <c r="BO391" s="293"/>
      <c r="BP391" s="293"/>
      <c r="BQ391" s="293"/>
      <c r="BR391" s="293"/>
      <c r="BS391" s="293"/>
      <c r="BT391" s="293"/>
      <c r="BU391" s="293"/>
      <c r="BV391" s="293"/>
      <c r="BW391" s="293"/>
      <c r="BX391" s="293"/>
      <c r="BY391" s="293"/>
      <c r="BZ391" s="293"/>
      <c r="CA391" s="293"/>
      <c r="CB391" s="293"/>
      <c r="CC391" s="293"/>
      <c r="CD391" s="293"/>
      <c r="CE391" s="293"/>
      <c r="CF391" s="293"/>
      <c r="CG391" s="293"/>
      <c r="CH391" s="293"/>
      <c r="CI391" s="293"/>
      <c r="CJ391" s="293"/>
      <c r="CK391" s="293"/>
      <c r="CL391" s="293"/>
      <c r="CM391" s="293"/>
      <c r="CN391" s="293"/>
      <c r="CO391" s="293"/>
      <c r="CP391" s="293"/>
      <c r="CQ391" s="293"/>
      <c r="CR391" s="293"/>
      <c r="CS391" s="293"/>
      <c r="CT391" s="293"/>
      <c r="CU391" s="293"/>
      <c r="CV391" s="293"/>
      <c r="CW391" s="293"/>
      <c r="CX391" s="293"/>
      <c r="CY391" s="293"/>
    </row>
    <row r="392" spans="1:103" s="351" customFormat="1" ht="15.75" x14ac:dyDescent="0.25">
      <c r="A392" s="345" t="s">
        <v>613</v>
      </c>
      <c r="B392" s="474" t="s">
        <v>195</v>
      </c>
      <c r="C392" s="430">
        <f>50+307.92+240.49+83+146.4+393.15+200+190-50</f>
        <v>1560.96</v>
      </c>
      <c r="D392" s="455">
        <f t="shared" si="159"/>
        <v>2272.3010000000004</v>
      </c>
      <c r="E392" s="505">
        <f>152+370.5+716.11+85.4+100</f>
        <v>1424.0100000000002</v>
      </c>
      <c r="F392" s="455">
        <f>+L392</f>
        <v>2349.79</v>
      </c>
      <c r="G392" s="292">
        <f t="shared" si="151"/>
        <v>0.96702301056690187</v>
      </c>
      <c r="H392" s="489">
        <f>+F392/C392</f>
        <v>1.5053492722427224</v>
      </c>
      <c r="I392" s="349">
        <v>3972</v>
      </c>
      <c r="J392" s="347">
        <f t="shared" si="160"/>
        <v>2272.3010000000004</v>
      </c>
      <c r="K392" s="291"/>
      <c r="L392" s="291">
        <f t="shared" si="157"/>
        <v>2349.79</v>
      </c>
      <c r="M392" s="348">
        <f>+J392/L392</f>
        <v>0.96702301056690187</v>
      </c>
      <c r="N392" s="392">
        <f>+L392/I392</f>
        <v>0.59158862034239679</v>
      </c>
      <c r="O392" s="430">
        <f>+X392*1.01</f>
        <v>1887.5890000000002</v>
      </c>
      <c r="P392" s="455"/>
      <c r="Q392" s="455">
        <f>+Z392*0.8</f>
        <v>384.71199999999999</v>
      </c>
      <c r="R392" s="455"/>
      <c r="S392" s="455"/>
      <c r="T392" s="455"/>
      <c r="U392" s="455"/>
      <c r="V392" s="455"/>
      <c r="W392" s="350"/>
      <c r="X392" s="349">
        <v>1868.9</v>
      </c>
      <c r="Y392" s="455"/>
      <c r="Z392" s="455">
        <v>480.89</v>
      </c>
      <c r="AA392" s="455"/>
      <c r="AB392" s="455"/>
      <c r="AC392" s="455"/>
      <c r="AD392" s="455"/>
      <c r="AE392" s="455"/>
      <c r="AF392" s="359"/>
      <c r="AG392" s="293"/>
      <c r="AH392" s="293"/>
      <c r="AI392" s="293"/>
      <c r="AJ392" s="293"/>
      <c r="AK392" s="293"/>
      <c r="AL392" s="293"/>
      <c r="AM392" s="293"/>
      <c r="AN392" s="293"/>
      <c r="AO392" s="293"/>
      <c r="AP392" s="293"/>
      <c r="AQ392" s="293"/>
      <c r="AR392" s="293"/>
      <c r="AS392" s="293"/>
      <c r="AT392" s="293"/>
      <c r="AU392" s="293"/>
      <c r="AV392" s="293"/>
      <c r="AW392" s="293"/>
      <c r="AX392" s="293"/>
      <c r="AY392" s="293"/>
      <c r="AZ392" s="293"/>
      <c r="BA392" s="293"/>
      <c r="BB392" s="293"/>
      <c r="BC392" s="293"/>
      <c r="BD392" s="293"/>
      <c r="BE392" s="293"/>
      <c r="BF392" s="293"/>
      <c r="BG392" s="293"/>
      <c r="BH392" s="293"/>
      <c r="BI392" s="293"/>
      <c r="BJ392" s="293"/>
      <c r="BK392" s="293"/>
      <c r="BL392" s="293"/>
      <c r="BM392" s="293"/>
      <c r="BN392" s="293"/>
      <c r="BO392" s="293"/>
      <c r="BP392" s="293"/>
      <c r="BQ392" s="293"/>
      <c r="BR392" s="293"/>
      <c r="BS392" s="293"/>
      <c r="BT392" s="293"/>
      <c r="BU392" s="293"/>
      <c r="BV392" s="293"/>
      <c r="BW392" s="293"/>
      <c r="BX392" s="293"/>
      <c r="BY392" s="293"/>
      <c r="BZ392" s="293"/>
      <c r="CA392" s="293"/>
      <c r="CB392" s="293"/>
      <c r="CC392" s="293"/>
      <c r="CD392" s="293"/>
      <c r="CE392" s="293"/>
      <c r="CF392" s="293"/>
      <c r="CG392" s="293"/>
      <c r="CH392" s="293"/>
      <c r="CI392" s="293"/>
      <c r="CJ392" s="293"/>
      <c r="CK392" s="293"/>
      <c r="CL392" s="293"/>
      <c r="CM392" s="293"/>
      <c r="CN392" s="293"/>
      <c r="CO392" s="293"/>
      <c r="CP392" s="293"/>
      <c r="CQ392" s="293"/>
      <c r="CR392" s="293"/>
      <c r="CS392" s="293"/>
      <c r="CT392" s="293"/>
      <c r="CU392" s="293"/>
      <c r="CV392" s="293"/>
      <c r="CW392" s="293"/>
      <c r="CX392" s="293"/>
      <c r="CY392" s="293"/>
    </row>
    <row r="393" spans="1:103" s="351" customFormat="1" ht="15.75" x14ac:dyDescent="0.25">
      <c r="A393" s="407"/>
      <c r="B393" s="483" t="s">
        <v>1341</v>
      </c>
      <c r="C393" s="469">
        <v>1378.12</v>
      </c>
      <c r="D393" s="409"/>
      <c r="E393" s="110"/>
      <c r="F393" s="409"/>
      <c r="G393" s="410"/>
      <c r="H393" s="494"/>
      <c r="I393" s="464">
        <v>2411</v>
      </c>
      <c r="J393" s="408"/>
      <c r="K393" s="464"/>
      <c r="L393" s="290">
        <f>+J393</f>
        <v>0</v>
      </c>
      <c r="M393" s="411"/>
      <c r="N393" s="440"/>
      <c r="O393" s="436"/>
      <c r="P393" s="409"/>
      <c r="Q393" s="409"/>
      <c r="R393" s="409"/>
      <c r="S393" s="409"/>
      <c r="T393" s="409"/>
      <c r="U393" s="409"/>
      <c r="V393" s="409"/>
      <c r="W393" s="522"/>
      <c r="X393" s="412"/>
      <c r="Y393" s="409"/>
      <c r="Z393" s="409"/>
      <c r="AA393" s="409"/>
      <c r="AB393" s="409"/>
      <c r="AC393" s="409"/>
      <c r="AD393" s="409"/>
      <c r="AE393" s="409"/>
      <c r="AF393" s="413"/>
      <c r="AG393" s="293"/>
      <c r="AH393" s="293"/>
      <c r="AI393" s="293"/>
      <c r="AJ393" s="293"/>
      <c r="AK393" s="293"/>
      <c r="AL393" s="293"/>
      <c r="AM393" s="293"/>
      <c r="AN393" s="293"/>
      <c r="AO393" s="293"/>
      <c r="AP393" s="293"/>
      <c r="AQ393" s="293"/>
      <c r="AR393" s="293"/>
      <c r="AS393" s="293"/>
      <c r="AT393" s="293"/>
      <c r="AU393" s="293"/>
      <c r="AV393" s="293"/>
      <c r="AW393" s="293"/>
      <c r="AX393" s="293"/>
      <c r="AY393" s="293"/>
      <c r="AZ393" s="293"/>
      <c r="BA393" s="293"/>
      <c r="BB393" s="293"/>
      <c r="BC393" s="293"/>
      <c r="BD393" s="293"/>
      <c r="BE393" s="293"/>
      <c r="BF393" s="293"/>
      <c r="BG393" s="293"/>
      <c r="BH393" s="293"/>
      <c r="BI393" s="293"/>
      <c r="BJ393" s="293"/>
      <c r="BK393" s="293"/>
      <c r="BL393" s="293"/>
      <c r="BM393" s="293"/>
      <c r="BN393" s="293"/>
      <c r="BO393" s="293"/>
      <c r="BP393" s="293"/>
      <c r="BQ393" s="293"/>
      <c r="BR393" s="293"/>
      <c r="BS393" s="293"/>
      <c r="BT393" s="293"/>
      <c r="BU393" s="293"/>
      <c r="BV393" s="293"/>
      <c r="BW393" s="293"/>
      <c r="BX393" s="293"/>
      <c r="BY393" s="293"/>
      <c r="BZ393" s="293"/>
      <c r="CA393" s="293"/>
      <c r="CB393" s="293"/>
      <c r="CC393" s="293"/>
      <c r="CD393" s="293"/>
      <c r="CE393" s="293"/>
      <c r="CF393" s="293"/>
      <c r="CG393" s="293"/>
      <c r="CH393" s="293"/>
      <c r="CI393" s="293"/>
      <c r="CJ393" s="293"/>
      <c r="CK393" s="293"/>
      <c r="CL393" s="293"/>
      <c r="CM393" s="293"/>
      <c r="CN393" s="293"/>
      <c r="CO393" s="293"/>
      <c r="CP393" s="293"/>
      <c r="CQ393" s="293"/>
      <c r="CR393" s="293"/>
      <c r="CS393" s="293"/>
      <c r="CT393" s="293"/>
      <c r="CU393" s="293"/>
      <c r="CV393" s="293"/>
      <c r="CW393" s="293"/>
      <c r="CX393" s="293"/>
      <c r="CY393" s="293"/>
    </row>
    <row r="394" spans="1:103" s="351" customFormat="1" ht="15.75" x14ac:dyDescent="0.25">
      <c r="A394" s="345" t="s">
        <v>614</v>
      </c>
      <c r="B394" s="474" t="s">
        <v>202</v>
      </c>
      <c r="C394" s="430">
        <v>1438.31</v>
      </c>
      <c r="D394" s="455">
        <f t="shared" si="159"/>
        <v>1081.8096</v>
      </c>
      <c r="E394" s="505">
        <v>1692.07</v>
      </c>
      <c r="F394" s="455">
        <f>+L394</f>
        <v>1118.7</v>
      </c>
      <c r="G394" s="292">
        <f t="shared" si="151"/>
        <v>0.96702386698846876</v>
      </c>
      <c r="H394" s="489">
        <f>+F394/C394</f>
        <v>0.77778782042814143</v>
      </c>
      <c r="I394" s="349">
        <v>2693</v>
      </c>
      <c r="J394" s="347">
        <f t="shared" si="160"/>
        <v>1081.8096</v>
      </c>
      <c r="K394" s="291"/>
      <c r="L394" s="291">
        <f t="shared" si="157"/>
        <v>1118.7</v>
      </c>
      <c r="M394" s="348">
        <f>+J394/L394</f>
        <v>0.96702386698846876</v>
      </c>
      <c r="N394" s="392">
        <f>+L394/I394</f>
        <v>0.41541032305978465</v>
      </c>
      <c r="O394" s="430">
        <f>+X394*1.01</f>
        <v>898.6576</v>
      </c>
      <c r="P394" s="455"/>
      <c r="Q394" s="455">
        <f>+Z394*0.8</f>
        <v>183.15200000000002</v>
      </c>
      <c r="R394" s="455"/>
      <c r="S394" s="455"/>
      <c r="T394" s="455"/>
      <c r="U394" s="455"/>
      <c r="V394" s="455"/>
      <c r="W394" s="350"/>
      <c r="X394" s="349">
        <v>889.76</v>
      </c>
      <c r="Y394" s="455"/>
      <c r="Z394" s="455">
        <v>228.94</v>
      </c>
      <c r="AA394" s="455"/>
      <c r="AB394" s="455"/>
      <c r="AC394" s="455"/>
      <c r="AD394" s="455"/>
      <c r="AE394" s="455"/>
      <c r="AF394" s="359"/>
      <c r="AG394" s="293"/>
      <c r="AH394" s="293"/>
      <c r="AI394" s="293"/>
      <c r="AJ394" s="293"/>
      <c r="AK394" s="293"/>
      <c r="AL394" s="293"/>
      <c r="AM394" s="293"/>
      <c r="AN394" s="293"/>
      <c r="AO394" s="293"/>
      <c r="AP394" s="293"/>
      <c r="AQ394" s="293"/>
      <c r="AR394" s="293"/>
      <c r="AS394" s="293"/>
      <c r="AT394" s="293"/>
      <c r="AU394" s="293"/>
      <c r="AV394" s="293"/>
      <c r="AW394" s="293"/>
      <c r="AX394" s="293"/>
      <c r="AY394" s="293"/>
      <c r="AZ394" s="293"/>
      <c r="BA394" s="293"/>
      <c r="BB394" s="293"/>
      <c r="BC394" s="293"/>
      <c r="BD394" s="293"/>
      <c r="BE394" s="293"/>
      <c r="BF394" s="293"/>
      <c r="BG394" s="293"/>
      <c r="BH394" s="293"/>
      <c r="BI394" s="293"/>
      <c r="BJ394" s="293"/>
      <c r="BK394" s="293"/>
      <c r="BL394" s="293"/>
      <c r="BM394" s="293"/>
      <c r="BN394" s="293"/>
      <c r="BO394" s="293"/>
      <c r="BP394" s="293"/>
      <c r="BQ394" s="293"/>
      <c r="BR394" s="293"/>
      <c r="BS394" s="293"/>
      <c r="BT394" s="293"/>
      <c r="BU394" s="293"/>
      <c r="BV394" s="293"/>
      <c r="BW394" s="293"/>
      <c r="BX394" s="293"/>
      <c r="BY394" s="293"/>
      <c r="BZ394" s="293"/>
      <c r="CA394" s="293"/>
      <c r="CB394" s="293"/>
      <c r="CC394" s="293"/>
      <c r="CD394" s="293"/>
      <c r="CE394" s="293"/>
      <c r="CF394" s="293"/>
      <c r="CG394" s="293"/>
      <c r="CH394" s="293"/>
      <c r="CI394" s="293"/>
      <c r="CJ394" s="293"/>
      <c r="CK394" s="293"/>
      <c r="CL394" s="293"/>
      <c r="CM394" s="293"/>
      <c r="CN394" s="293"/>
      <c r="CO394" s="293"/>
      <c r="CP394" s="293"/>
      <c r="CQ394" s="293"/>
      <c r="CR394" s="293"/>
      <c r="CS394" s="293"/>
      <c r="CT394" s="293"/>
      <c r="CU394" s="293"/>
      <c r="CV394" s="293"/>
      <c r="CW394" s="293"/>
      <c r="CX394" s="293"/>
      <c r="CY394" s="293"/>
    </row>
    <row r="395" spans="1:103" s="351" customFormat="1" ht="15.75" x14ac:dyDescent="0.25">
      <c r="A395" s="407"/>
      <c r="B395" s="483" t="s">
        <v>1341</v>
      </c>
      <c r="C395" s="469">
        <v>1549.83</v>
      </c>
      <c r="D395" s="409"/>
      <c r="E395" s="110"/>
      <c r="F395" s="409"/>
      <c r="G395" s="410"/>
      <c r="H395" s="494"/>
      <c r="I395" s="464">
        <v>1255</v>
      </c>
      <c r="J395" s="408"/>
      <c r="K395" s="464"/>
      <c r="L395" s="290">
        <f>+J395</f>
        <v>0</v>
      </c>
      <c r="M395" s="411"/>
      <c r="N395" s="440"/>
      <c r="O395" s="436"/>
      <c r="P395" s="409"/>
      <c r="Q395" s="409"/>
      <c r="R395" s="409"/>
      <c r="S395" s="409"/>
      <c r="T395" s="409"/>
      <c r="U395" s="409"/>
      <c r="V395" s="409"/>
      <c r="W395" s="522"/>
      <c r="X395" s="412"/>
      <c r="Y395" s="409"/>
      <c r="Z395" s="409"/>
      <c r="AA395" s="409"/>
      <c r="AB395" s="409"/>
      <c r="AC395" s="409"/>
      <c r="AD395" s="409"/>
      <c r="AE395" s="409"/>
      <c r="AF395" s="413"/>
      <c r="AG395" s="293"/>
      <c r="AH395" s="293"/>
      <c r="AI395" s="293"/>
      <c r="AJ395" s="293"/>
      <c r="AK395" s="293"/>
      <c r="AL395" s="293"/>
      <c r="AM395" s="293"/>
      <c r="AN395" s="293"/>
      <c r="AO395" s="293"/>
      <c r="AP395" s="293"/>
      <c r="AQ395" s="293"/>
      <c r="AR395" s="293"/>
      <c r="AS395" s="293"/>
      <c r="AT395" s="293"/>
      <c r="AU395" s="293"/>
      <c r="AV395" s="293"/>
      <c r="AW395" s="293"/>
      <c r="AX395" s="293"/>
      <c r="AY395" s="293"/>
      <c r="AZ395" s="293"/>
      <c r="BA395" s="293"/>
      <c r="BB395" s="293"/>
      <c r="BC395" s="293"/>
      <c r="BD395" s="293"/>
      <c r="BE395" s="293"/>
      <c r="BF395" s="293"/>
      <c r="BG395" s="293"/>
      <c r="BH395" s="293"/>
      <c r="BI395" s="293"/>
      <c r="BJ395" s="293"/>
      <c r="BK395" s="293"/>
      <c r="BL395" s="293"/>
      <c r="BM395" s="293"/>
      <c r="BN395" s="293"/>
      <c r="BO395" s="293"/>
      <c r="BP395" s="293"/>
      <c r="BQ395" s="293"/>
      <c r="BR395" s="293"/>
      <c r="BS395" s="293"/>
      <c r="BT395" s="293"/>
      <c r="BU395" s="293"/>
      <c r="BV395" s="293"/>
      <c r="BW395" s="293"/>
      <c r="BX395" s="293"/>
      <c r="BY395" s="293"/>
      <c r="BZ395" s="293"/>
      <c r="CA395" s="293"/>
      <c r="CB395" s="293"/>
      <c r="CC395" s="293"/>
      <c r="CD395" s="293"/>
      <c r="CE395" s="293"/>
      <c r="CF395" s="293"/>
      <c r="CG395" s="293"/>
      <c r="CH395" s="293"/>
      <c r="CI395" s="293"/>
      <c r="CJ395" s="293"/>
      <c r="CK395" s="293"/>
      <c r="CL395" s="293"/>
      <c r="CM395" s="293"/>
      <c r="CN395" s="293"/>
      <c r="CO395" s="293"/>
      <c r="CP395" s="293"/>
      <c r="CQ395" s="293"/>
      <c r="CR395" s="293"/>
      <c r="CS395" s="293"/>
      <c r="CT395" s="293"/>
      <c r="CU395" s="293"/>
      <c r="CV395" s="293"/>
      <c r="CW395" s="293"/>
      <c r="CX395" s="293"/>
      <c r="CY395" s="293"/>
    </row>
    <row r="396" spans="1:103" s="351" customFormat="1" ht="15.75" x14ac:dyDescent="0.25">
      <c r="A396" s="345" t="s">
        <v>615</v>
      </c>
      <c r="B396" s="474" t="s">
        <v>204</v>
      </c>
      <c r="C396" s="430">
        <v>925.56</v>
      </c>
      <c r="D396" s="455">
        <f t="shared" si="159"/>
        <v>1584.0083000000002</v>
      </c>
      <c r="E396" s="505">
        <v>2364.1999999999998</v>
      </c>
      <c r="F396" s="455">
        <f>+L396</f>
        <v>1632.91</v>
      </c>
      <c r="G396" s="292">
        <f t="shared" si="151"/>
        <v>0.97005242175012718</v>
      </c>
      <c r="H396" s="489">
        <f>+F396/C396</f>
        <v>1.764240027658931</v>
      </c>
      <c r="I396" s="349">
        <v>1620</v>
      </c>
      <c r="J396" s="347">
        <f t="shared" si="160"/>
        <v>1584.0083000000002</v>
      </c>
      <c r="K396" s="291"/>
      <c r="L396" s="291">
        <f t="shared" si="157"/>
        <v>1632.91</v>
      </c>
      <c r="M396" s="348">
        <f>+J396/L396</f>
        <v>0.97005242175012718</v>
      </c>
      <c r="N396" s="392">
        <f>+L396/I396</f>
        <v>1.0079691358024692</v>
      </c>
      <c r="O396" s="430">
        <f>+X396*1.01</f>
        <v>1191.2243000000001</v>
      </c>
      <c r="P396" s="455"/>
      <c r="Q396" s="455">
        <f>+Z396*0.8</f>
        <v>242.78400000000002</v>
      </c>
      <c r="R396" s="455"/>
      <c r="S396" s="455"/>
      <c r="T396" s="455"/>
      <c r="U396" s="455">
        <f>+AD396</f>
        <v>150</v>
      </c>
      <c r="V396" s="455"/>
      <c r="W396" s="350"/>
      <c r="X396" s="349">
        <v>1179.43</v>
      </c>
      <c r="Y396" s="455"/>
      <c r="Z396" s="455">
        <v>303.48</v>
      </c>
      <c r="AA396" s="455"/>
      <c r="AB396" s="455"/>
      <c r="AC396" s="455"/>
      <c r="AD396" s="455">
        <v>150</v>
      </c>
      <c r="AE396" s="455"/>
      <c r="AF396" s="359"/>
      <c r="AG396" s="293"/>
      <c r="AH396" s="293"/>
      <c r="AI396" s="293"/>
      <c r="AJ396" s="293"/>
      <c r="AK396" s="293"/>
      <c r="AL396" s="293"/>
      <c r="AM396" s="293"/>
      <c r="AN396" s="293"/>
      <c r="AO396" s="293"/>
      <c r="AP396" s="293"/>
      <c r="AQ396" s="293"/>
      <c r="AR396" s="293"/>
      <c r="AS396" s="293"/>
      <c r="AT396" s="293"/>
      <c r="AU396" s="293"/>
      <c r="AV396" s="293"/>
      <c r="AW396" s="293"/>
      <c r="AX396" s="293"/>
      <c r="AY396" s="293"/>
      <c r="AZ396" s="293"/>
      <c r="BA396" s="293"/>
      <c r="BB396" s="293"/>
      <c r="BC396" s="293"/>
      <c r="BD396" s="293"/>
      <c r="BE396" s="293"/>
      <c r="BF396" s="293"/>
      <c r="BG396" s="293"/>
      <c r="BH396" s="293"/>
      <c r="BI396" s="293"/>
      <c r="BJ396" s="293"/>
      <c r="BK396" s="293"/>
      <c r="BL396" s="293"/>
      <c r="BM396" s="293"/>
      <c r="BN396" s="293"/>
      <c r="BO396" s="293"/>
      <c r="BP396" s="293"/>
      <c r="BQ396" s="293"/>
      <c r="BR396" s="293"/>
      <c r="BS396" s="293"/>
      <c r="BT396" s="293"/>
      <c r="BU396" s="293"/>
      <c r="BV396" s="293"/>
      <c r="BW396" s="293"/>
      <c r="BX396" s="293"/>
      <c r="BY396" s="293"/>
      <c r="BZ396" s="293"/>
      <c r="CA396" s="293"/>
      <c r="CB396" s="293"/>
      <c r="CC396" s="293"/>
      <c r="CD396" s="293"/>
      <c r="CE396" s="293"/>
      <c r="CF396" s="293"/>
      <c r="CG396" s="293"/>
      <c r="CH396" s="293"/>
      <c r="CI396" s="293"/>
      <c r="CJ396" s="293"/>
      <c r="CK396" s="293"/>
      <c r="CL396" s="293"/>
      <c r="CM396" s="293"/>
      <c r="CN396" s="293"/>
      <c r="CO396" s="293"/>
      <c r="CP396" s="293"/>
      <c r="CQ396" s="293"/>
      <c r="CR396" s="293"/>
      <c r="CS396" s="293"/>
      <c r="CT396" s="293"/>
      <c r="CU396" s="293"/>
      <c r="CV396" s="293"/>
      <c r="CW396" s="293"/>
      <c r="CX396" s="293"/>
      <c r="CY396" s="293"/>
    </row>
    <row r="397" spans="1:103" s="351" customFormat="1" ht="15.75" x14ac:dyDescent="0.25">
      <c r="A397" s="407"/>
      <c r="B397" s="483" t="s">
        <v>1341</v>
      </c>
      <c r="C397" s="469">
        <v>13.14</v>
      </c>
      <c r="D397" s="409"/>
      <c r="E397" s="110"/>
      <c r="F397" s="409"/>
      <c r="G397" s="410"/>
      <c r="H397" s="494"/>
      <c r="I397" s="464">
        <v>695</v>
      </c>
      <c r="J397" s="408"/>
      <c r="K397" s="464"/>
      <c r="L397" s="290">
        <f>+J397</f>
        <v>0</v>
      </c>
      <c r="M397" s="411"/>
      <c r="N397" s="440"/>
      <c r="O397" s="436"/>
      <c r="P397" s="409"/>
      <c r="Q397" s="409"/>
      <c r="R397" s="409"/>
      <c r="S397" s="409"/>
      <c r="T397" s="409"/>
      <c r="U397" s="409"/>
      <c r="V397" s="409"/>
      <c r="W397" s="522"/>
      <c r="X397" s="412"/>
      <c r="Y397" s="409"/>
      <c r="Z397" s="409"/>
      <c r="AA397" s="409"/>
      <c r="AB397" s="409"/>
      <c r="AC397" s="409"/>
      <c r="AD397" s="409"/>
      <c r="AE397" s="409"/>
      <c r="AF397" s="413"/>
      <c r="AG397" s="293"/>
      <c r="AH397" s="293"/>
      <c r="AI397" s="293"/>
      <c r="AJ397" s="293"/>
      <c r="AK397" s="293"/>
      <c r="AL397" s="293"/>
      <c r="AM397" s="293"/>
      <c r="AN397" s="293"/>
      <c r="AO397" s="293"/>
      <c r="AP397" s="293"/>
      <c r="AQ397" s="293"/>
      <c r="AR397" s="293"/>
      <c r="AS397" s="293"/>
      <c r="AT397" s="293"/>
      <c r="AU397" s="293"/>
      <c r="AV397" s="293"/>
      <c r="AW397" s="293"/>
      <c r="AX397" s="293"/>
      <c r="AY397" s="293"/>
      <c r="AZ397" s="293"/>
      <c r="BA397" s="293"/>
      <c r="BB397" s="293"/>
      <c r="BC397" s="293"/>
      <c r="BD397" s="293"/>
      <c r="BE397" s="293"/>
      <c r="BF397" s="293"/>
      <c r="BG397" s="293"/>
      <c r="BH397" s="293"/>
      <c r="BI397" s="293"/>
      <c r="BJ397" s="293"/>
      <c r="BK397" s="293"/>
      <c r="BL397" s="293"/>
      <c r="BM397" s="293"/>
      <c r="BN397" s="293"/>
      <c r="BO397" s="293"/>
      <c r="BP397" s="293"/>
      <c r="BQ397" s="293"/>
      <c r="BR397" s="293"/>
      <c r="BS397" s="293"/>
      <c r="BT397" s="293"/>
      <c r="BU397" s="293"/>
      <c r="BV397" s="293"/>
      <c r="BW397" s="293"/>
      <c r="BX397" s="293"/>
      <c r="BY397" s="293"/>
      <c r="BZ397" s="293"/>
      <c r="CA397" s="293"/>
      <c r="CB397" s="293"/>
      <c r="CC397" s="293"/>
      <c r="CD397" s="293"/>
      <c r="CE397" s="293"/>
      <c r="CF397" s="293"/>
      <c r="CG397" s="293"/>
      <c r="CH397" s="293"/>
      <c r="CI397" s="293"/>
      <c r="CJ397" s="293"/>
      <c r="CK397" s="293"/>
      <c r="CL397" s="293"/>
      <c r="CM397" s="293"/>
      <c r="CN397" s="293"/>
      <c r="CO397" s="293"/>
      <c r="CP397" s="293"/>
      <c r="CQ397" s="293"/>
      <c r="CR397" s="293"/>
      <c r="CS397" s="293"/>
      <c r="CT397" s="293"/>
      <c r="CU397" s="293"/>
      <c r="CV397" s="293"/>
      <c r="CW397" s="293"/>
      <c r="CX397" s="293"/>
      <c r="CY397" s="293"/>
    </row>
    <row r="398" spans="1:103" s="351" customFormat="1" ht="15.75" x14ac:dyDescent="0.25">
      <c r="A398" s="345" t="s">
        <v>616</v>
      </c>
      <c r="B398" s="474" t="s">
        <v>1340</v>
      </c>
      <c r="C398" s="430">
        <v>2801.59</v>
      </c>
      <c r="D398" s="455">
        <f t="shared" si="159"/>
        <v>1317.6473000000001</v>
      </c>
      <c r="E398" s="505">
        <v>647.20000000000005</v>
      </c>
      <c r="F398" s="455">
        <f>+L398</f>
        <v>1362.58</v>
      </c>
      <c r="G398" s="292">
        <f t="shared" si="151"/>
        <v>0.96702380777642427</v>
      </c>
      <c r="H398" s="489">
        <f>+F398/C398</f>
        <v>0.48635953155172595</v>
      </c>
      <c r="I398" s="349">
        <v>2937</v>
      </c>
      <c r="J398" s="347">
        <f t="shared" si="160"/>
        <v>1317.6473000000001</v>
      </c>
      <c r="K398" s="291"/>
      <c r="L398" s="291">
        <f t="shared" si="157"/>
        <v>1362.58</v>
      </c>
      <c r="M398" s="348">
        <f>+J398/L398</f>
        <v>0.96702380777642427</v>
      </c>
      <c r="N398" s="392">
        <f>+L398/I398</f>
        <v>0.46393598910452838</v>
      </c>
      <c r="O398" s="430">
        <f>+X398*1.01</f>
        <v>1094.5672999999999</v>
      </c>
      <c r="P398" s="455"/>
      <c r="Q398" s="455">
        <f>+Z398*0.8</f>
        <v>223.08000000000004</v>
      </c>
      <c r="R398" s="455"/>
      <c r="S398" s="455"/>
      <c r="T398" s="455"/>
      <c r="U398" s="455"/>
      <c r="V398" s="455"/>
      <c r="W398" s="350"/>
      <c r="X398" s="349">
        <v>1083.73</v>
      </c>
      <c r="Y398" s="455"/>
      <c r="Z398" s="455">
        <v>278.85000000000002</v>
      </c>
      <c r="AA398" s="455"/>
      <c r="AB398" s="455"/>
      <c r="AC398" s="455"/>
      <c r="AD398" s="455"/>
      <c r="AE398" s="455"/>
      <c r="AF398" s="359"/>
      <c r="AG398" s="293"/>
      <c r="AH398" s="293"/>
      <c r="AI398" s="293"/>
      <c r="AJ398" s="293"/>
      <c r="AK398" s="293"/>
      <c r="AL398" s="293"/>
      <c r="AM398" s="293"/>
      <c r="AN398" s="293"/>
      <c r="AO398" s="293"/>
      <c r="AP398" s="293"/>
      <c r="AQ398" s="293"/>
      <c r="AR398" s="293"/>
      <c r="AS398" s="293"/>
      <c r="AT398" s="293"/>
      <c r="AU398" s="293"/>
      <c r="AV398" s="293"/>
      <c r="AW398" s="293"/>
      <c r="AX398" s="293"/>
      <c r="AY398" s="293"/>
      <c r="AZ398" s="293"/>
      <c r="BA398" s="293"/>
      <c r="BB398" s="293"/>
      <c r="BC398" s="293"/>
      <c r="BD398" s="293"/>
      <c r="BE398" s="293"/>
      <c r="BF398" s="293"/>
      <c r="BG398" s="293"/>
      <c r="BH398" s="293"/>
      <c r="BI398" s="293"/>
      <c r="BJ398" s="293"/>
      <c r="BK398" s="293"/>
      <c r="BL398" s="293"/>
      <c r="BM398" s="293"/>
      <c r="BN398" s="293"/>
      <c r="BO398" s="293"/>
      <c r="BP398" s="293"/>
      <c r="BQ398" s="293"/>
      <c r="BR398" s="293"/>
      <c r="BS398" s="293"/>
      <c r="BT398" s="293"/>
      <c r="BU398" s="293"/>
      <c r="BV398" s="293"/>
      <c r="BW398" s="293"/>
      <c r="BX398" s="293"/>
      <c r="BY398" s="293"/>
      <c r="BZ398" s="293"/>
      <c r="CA398" s="293"/>
      <c r="CB398" s="293"/>
      <c r="CC398" s="293"/>
      <c r="CD398" s="293"/>
      <c r="CE398" s="293"/>
      <c r="CF398" s="293"/>
      <c r="CG398" s="293"/>
      <c r="CH398" s="293"/>
      <c r="CI398" s="293"/>
      <c r="CJ398" s="293"/>
      <c r="CK398" s="293"/>
      <c r="CL398" s="293"/>
      <c r="CM398" s="293"/>
      <c r="CN398" s="293"/>
      <c r="CO398" s="293"/>
      <c r="CP398" s="293"/>
      <c r="CQ398" s="293"/>
      <c r="CR398" s="293"/>
      <c r="CS398" s="293"/>
      <c r="CT398" s="293"/>
      <c r="CU398" s="293"/>
      <c r="CV398" s="293"/>
      <c r="CW398" s="293"/>
      <c r="CX398" s="293"/>
      <c r="CY398" s="293"/>
    </row>
    <row r="399" spans="1:103" s="351" customFormat="1" ht="15.75" x14ac:dyDescent="0.25">
      <c r="A399" s="407"/>
      <c r="B399" s="483" t="s">
        <v>1341</v>
      </c>
      <c r="C399" s="469">
        <v>798.61</v>
      </c>
      <c r="D399" s="409"/>
      <c r="E399" s="110"/>
      <c r="F399" s="409"/>
      <c r="G399" s="410"/>
      <c r="H399" s="494"/>
      <c r="I399" s="464">
        <v>135</v>
      </c>
      <c r="J399" s="408"/>
      <c r="K399" s="464"/>
      <c r="L399" s="290">
        <f>+J399</f>
        <v>0</v>
      </c>
      <c r="M399" s="411"/>
      <c r="N399" s="440"/>
      <c r="O399" s="436"/>
      <c r="P399" s="409"/>
      <c r="Q399" s="409"/>
      <c r="R399" s="409"/>
      <c r="S399" s="409"/>
      <c r="T399" s="409"/>
      <c r="U399" s="409"/>
      <c r="V399" s="409"/>
      <c r="W399" s="522"/>
      <c r="X399" s="412"/>
      <c r="Y399" s="409"/>
      <c r="Z399" s="409"/>
      <c r="AA399" s="409"/>
      <c r="AB399" s="409"/>
      <c r="AC399" s="409"/>
      <c r="AD399" s="409"/>
      <c r="AE399" s="409"/>
      <c r="AF399" s="413"/>
      <c r="AG399" s="293"/>
      <c r="AH399" s="293"/>
      <c r="AI399" s="293"/>
      <c r="AJ399" s="293"/>
      <c r="AK399" s="293"/>
      <c r="AL399" s="293"/>
      <c r="AM399" s="293"/>
      <c r="AN399" s="293"/>
      <c r="AO399" s="293"/>
      <c r="AP399" s="293"/>
      <c r="AQ399" s="293"/>
      <c r="AR399" s="293"/>
      <c r="AS399" s="293"/>
      <c r="AT399" s="293"/>
      <c r="AU399" s="293"/>
      <c r="AV399" s="293"/>
      <c r="AW399" s="293"/>
      <c r="AX399" s="293"/>
      <c r="AY399" s="293"/>
      <c r="AZ399" s="293"/>
      <c r="BA399" s="293"/>
      <c r="BB399" s="293"/>
      <c r="BC399" s="293"/>
      <c r="BD399" s="293"/>
      <c r="BE399" s="293"/>
      <c r="BF399" s="293"/>
      <c r="BG399" s="293"/>
      <c r="BH399" s="293"/>
      <c r="BI399" s="293"/>
      <c r="BJ399" s="293"/>
      <c r="BK399" s="293"/>
      <c r="BL399" s="293"/>
      <c r="BM399" s="293"/>
      <c r="BN399" s="293"/>
      <c r="BO399" s="293"/>
      <c r="BP399" s="293"/>
      <c r="BQ399" s="293"/>
      <c r="BR399" s="293"/>
      <c r="BS399" s="293"/>
      <c r="BT399" s="293"/>
      <c r="BU399" s="293"/>
      <c r="BV399" s="293"/>
      <c r="BW399" s="293"/>
      <c r="BX399" s="293"/>
      <c r="BY399" s="293"/>
      <c r="BZ399" s="293"/>
      <c r="CA399" s="293"/>
      <c r="CB399" s="293"/>
      <c r="CC399" s="293"/>
      <c r="CD399" s="293"/>
      <c r="CE399" s="293"/>
      <c r="CF399" s="293"/>
      <c r="CG399" s="293"/>
      <c r="CH399" s="293"/>
      <c r="CI399" s="293"/>
      <c r="CJ399" s="293"/>
      <c r="CK399" s="293"/>
      <c r="CL399" s="293"/>
      <c r="CM399" s="293"/>
      <c r="CN399" s="293"/>
      <c r="CO399" s="293"/>
      <c r="CP399" s="293"/>
      <c r="CQ399" s="293"/>
      <c r="CR399" s="293"/>
      <c r="CS399" s="293"/>
      <c r="CT399" s="293"/>
      <c r="CU399" s="293"/>
      <c r="CV399" s="293"/>
      <c r="CW399" s="293"/>
      <c r="CX399" s="293"/>
      <c r="CY399" s="293"/>
    </row>
    <row r="400" spans="1:103" s="351" customFormat="1" ht="15.75" x14ac:dyDescent="0.25">
      <c r="A400" s="345" t="s">
        <v>617</v>
      </c>
      <c r="B400" s="474" t="s">
        <v>207</v>
      </c>
      <c r="C400" s="430">
        <v>2206.6</v>
      </c>
      <c r="D400" s="455">
        <f t="shared" si="159"/>
        <v>3438.6581000000001</v>
      </c>
      <c r="E400" s="505">
        <v>3137.01</v>
      </c>
      <c r="F400" s="455">
        <f>+L400</f>
        <v>3542.28</v>
      </c>
      <c r="G400" s="292">
        <f t="shared" si="151"/>
        <v>0.97074711767562127</v>
      </c>
      <c r="H400" s="489">
        <f>+F400/C400</f>
        <v>1.6053113387111395</v>
      </c>
      <c r="I400" s="349">
        <v>4211</v>
      </c>
      <c r="J400" s="347">
        <f t="shared" si="160"/>
        <v>3438.6581000000001</v>
      </c>
      <c r="K400" s="291"/>
      <c r="L400" s="291">
        <f t="shared" si="157"/>
        <v>3542.28</v>
      </c>
      <c r="M400" s="348">
        <f>+J400/L400</f>
        <v>0.97074711767562127</v>
      </c>
      <c r="N400" s="392">
        <f>+L400/I400</f>
        <v>0.84119686535264793</v>
      </c>
      <c r="O400" s="430">
        <f>+X400*1.01</f>
        <v>2524.2021</v>
      </c>
      <c r="P400" s="455">
        <v>400</v>
      </c>
      <c r="Q400" s="455">
        <f>+Z400*0.8</f>
        <v>514.45600000000002</v>
      </c>
      <c r="R400" s="455"/>
      <c r="S400" s="455"/>
      <c r="T400" s="455"/>
      <c r="U400" s="455"/>
      <c r="V400" s="455"/>
      <c r="W400" s="350"/>
      <c r="X400" s="349">
        <v>2499.21</v>
      </c>
      <c r="Y400" s="455">
        <v>400</v>
      </c>
      <c r="Z400" s="455">
        <v>643.07000000000005</v>
      </c>
      <c r="AA400" s="455"/>
      <c r="AB400" s="455"/>
      <c r="AC400" s="455"/>
      <c r="AD400" s="455"/>
      <c r="AE400" s="455"/>
      <c r="AF400" s="359"/>
      <c r="AG400" s="293"/>
      <c r="AH400" s="293"/>
      <c r="AI400" s="293"/>
      <c r="AJ400" s="293"/>
      <c r="AK400" s="293"/>
      <c r="AL400" s="293"/>
      <c r="AM400" s="293"/>
      <c r="AN400" s="293"/>
      <c r="AO400" s="293"/>
      <c r="AP400" s="293"/>
      <c r="AQ400" s="293"/>
      <c r="AR400" s="293"/>
      <c r="AS400" s="293"/>
      <c r="AT400" s="293"/>
      <c r="AU400" s="293"/>
      <c r="AV400" s="293"/>
      <c r="AW400" s="293"/>
      <c r="AX400" s="293"/>
      <c r="AY400" s="293"/>
      <c r="AZ400" s="293"/>
      <c r="BA400" s="293"/>
      <c r="BB400" s="293"/>
      <c r="BC400" s="293"/>
      <c r="BD400" s="293"/>
      <c r="BE400" s="293"/>
      <c r="BF400" s="293"/>
      <c r="BG400" s="293"/>
      <c r="BH400" s="293"/>
      <c r="BI400" s="293"/>
      <c r="BJ400" s="293"/>
      <c r="BK400" s="293"/>
      <c r="BL400" s="293"/>
      <c r="BM400" s="293"/>
      <c r="BN400" s="293"/>
      <c r="BO400" s="293"/>
      <c r="BP400" s="293"/>
      <c r="BQ400" s="293"/>
      <c r="BR400" s="293"/>
      <c r="BS400" s="293"/>
      <c r="BT400" s="293"/>
      <c r="BU400" s="293"/>
      <c r="BV400" s="293"/>
      <c r="BW400" s="293"/>
      <c r="BX400" s="293"/>
      <c r="BY400" s="293"/>
      <c r="BZ400" s="293"/>
      <c r="CA400" s="293"/>
      <c r="CB400" s="293"/>
      <c r="CC400" s="293"/>
      <c r="CD400" s="293"/>
      <c r="CE400" s="293"/>
      <c r="CF400" s="293"/>
      <c r="CG400" s="293"/>
      <c r="CH400" s="293"/>
      <c r="CI400" s="293"/>
      <c r="CJ400" s="293"/>
      <c r="CK400" s="293"/>
      <c r="CL400" s="293"/>
      <c r="CM400" s="293"/>
      <c r="CN400" s="293"/>
      <c r="CO400" s="293"/>
      <c r="CP400" s="293"/>
      <c r="CQ400" s="293"/>
      <c r="CR400" s="293"/>
      <c r="CS400" s="293"/>
      <c r="CT400" s="293"/>
      <c r="CU400" s="293"/>
      <c r="CV400" s="293"/>
      <c r="CW400" s="293"/>
      <c r="CX400" s="293"/>
      <c r="CY400" s="293"/>
    </row>
    <row r="401" spans="1:103" s="351" customFormat="1" ht="15.75" x14ac:dyDescent="0.25">
      <c r="A401" s="407"/>
      <c r="B401" s="483" t="s">
        <v>1341</v>
      </c>
      <c r="C401" s="469">
        <v>-256.25</v>
      </c>
      <c r="D401" s="409"/>
      <c r="E401" s="110"/>
      <c r="F401" s="409"/>
      <c r="G401" s="410"/>
      <c r="H401" s="494"/>
      <c r="I401" s="464">
        <v>2005</v>
      </c>
      <c r="J401" s="408"/>
      <c r="K401" s="464"/>
      <c r="L401" s="290">
        <f>+J401</f>
        <v>0</v>
      </c>
      <c r="M401" s="411"/>
      <c r="N401" s="440"/>
      <c r="O401" s="436"/>
      <c r="P401" s="409"/>
      <c r="Q401" s="409"/>
      <c r="R401" s="409"/>
      <c r="S401" s="409"/>
      <c r="T401" s="409"/>
      <c r="U401" s="409"/>
      <c r="V401" s="409"/>
      <c r="W401" s="522"/>
      <c r="X401" s="412"/>
      <c r="Y401" s="409"/>
      <c r="Z401" s="409"/>
      <c r="AA401" s="409"/>
      <c r="AB401" s="409"/>
      <c r="AC401" s="409"/>
      <c r="AD401" s="409"/>
      <c r="AE401" s="409"/>
      <c r="AF401" s="413"/>
      <c r="AG401" s="293"/>
      <c r="AH401" s="293"/>
      <c r="AI401" s="293"/>
      <c r="AJ401" s="293"/>
      <c r="AK401" s="293"/>
      <c r="AL401" s="293"/>
      <c r="AM401" s="293"/>
      <c r="AN401" s="293"/>
      <c r="AO401" s="293"/>
      <c r="AP401" s="293"/>
      <c r="AQ401" s="293"/>
      <c r="AR401" s="293"/>
      <c r="AS401" s="293"/>
      <c r="AT401" s="293"/>
      <c r="AU401" s="293"/>
      <c r="AV401" s="293"/>
      <c r="AW401" s="293"/>
      <c r="AX401" s="293"/>
      <c r="AY401" s="293"/>
      <c r="AZ401" s="293"/>
      <c r="BA401" s="293"/>
      <c r="BB401" s="293"/>
      <c r="BC401" s="293"/>
      <c r="BD401" s="293"/>
      <c r="BE401" s="293"/>
      <c r="BF401" s="293"/>
      <c r="BG401" s="293"/>
      <c r="BH401" s="293"/>
      <c r="BI401" s="293"/>
      <c r="BJ401" s="293"/>
      <c r="BK401" s="293"/>
      <c r="BL401" s="293"/>
      <c r="BM401" s="293"/>
      <c r="BN401" s="293"/>
      <c r="BO401" s="293"/>
      <c r="BP401" s="293"/>
      <c r="BQ401" s="293"/>
      <c r="BR401" s="293"/>
      <c r="BS401" s="293"/>
      <c r="BT401" s="293"/>
      <c r="BU401" s="293"/>
      <c r="BV401" s="293"/>
      <c r="BW401" s="293"/>
      <c r="BX401" s="293"/>
      <c r="BY401" s="293"/>
      <c r="BZ401" s="293"/>
      <c r="CA401" s="293"/>
      <c r="CB401" s="293"/>
      <c r="CC401" s="293"/>
      <c r="CD401" s="293"/>
      <c r="CE401" s="293"/>
      <c r="CF401" s="293"/>
      <c r="CG401" s="293"/>
      <c r="CH401" s="293"/>
      <c r="CI401" s="293"/>
      <c r="CJ401" s="293"/>
      <c r="CK401" s="293"/>
      <c r="CL401" s="293"/>
      <c r="CM401" s="293"/>
      <c r="CN401" s="293"/>
      <c r="CO401" s="293"/>
      <c r="CP401" s="293"/>
      <c r="CQ401" s="293"/>
      <c r="CR401" s="293"/>
      <c r="CS401" s="293"/>
      <c r="CT401" s="293"/>
      <c r="CU401" s="293"/>
      <c r="CV401" s="293"/>
      <c r="CW401" s="293"/>
      <c r="CX401" s="293"/>
      <c r="CY401" s="293"/>
    </row>
    <row r="402" spans="1:103" s="351" customFormat="1" ht="15.75" x14ac:dyDescent="0.25">
      <c r="A402" s="345" t="s">
        <v>1005</v>
      </c>
      <c r="B402" s="474" t="s">
        <v>208</v>
      </c>
      <c r="C402" s="430">
        <v>3121.77</v>
      </c>
      <c r="D402" s="455">
        <f t="shared" si="159"/>
        <v>1460.7079000000001</v>
      </c>
      <c r="E402" s="505">
        <v>163.36000000000001</v>
      </c>
      <c r="F402" s="455">
        <f>+L402</f>
        <v>1510.52</v>
      </c>
      <c r="G402" s="292">
        <f t="shared" si="151"/>
        <v>0.96702321055000939</v>
      </c>
      <c r="H402" s="489">
        <f>+F402/C402</f>
        <v>0.48386652443966083</v>
      </c>
      <c r="I402" s="349">
        <v>1800</v>
      </c>
      <c r="J402" s="347">
        <f>+O402+P402+Q402+R402+S402+T402+U402+V402+W402</f>
        <v>1460.7079000000001</v>
      </c>
      <c r="K402" s="291"/>
      <c r="L402" s="291">
        <f t="shared" si="157"/>
        <v>1510.52</v>
      </c>
      <c r="M402" s="348">
        <f>+J402/L402</f>
        <v>0.96702321055000939</v>
      </c>
      <c r="N402" s="392">
        <f>+L402/I402</f>
        <v>0.8391777777777778</v>
      </c>
      <c r="O402" s="430">
        <f>+X402*1.01</f>
        <v>1213.4039</v>
      </c>
      <c r="P402" s="455"/>
      <c r="Q402" s="455">
        <f>+Z402*0.8</f>
        <v>247.304</v>
      </c>
      <c r="R402" s="455"/>
      <c r="S402" s="455"/>
      <c r="T402" s="455"/>
      <c r="U402" s="455"/>
      <c r="V402" s="455"/>
      <c r="W402" s="350"/>
      <c r="X402" s="349">
        <v>1201.3900000000001</v>
      </c>
      <c r="Y402" s="455"/>
      <c r="Z402" s="455">
        <v>309.13</v>
      </c>
      <c r="AA402" s="455"/>
      <c r="AB402" s="455"/>
      <c r="AC402" s="455"/>
      <c r="AD402" s="455"/>
      <c r="AE402" s="455"/>
      <c r="AF402" s="359"/>
      <c r="AG402" s="293"/>
      <c r="AH402" s="293"/>
      <c r="AI402" s="293"/>
      <c r="AJ402" s="293"/>
      <c r="AK402" s="293"/>
      <c r="AL402" s="293"/>
      <c r="AM402" s="293"/>
      <c r="AN402" s="293"/>
      <c r="AO402" s="293"/>
      <c r="AP402" s="293"/>
      <c r="AQ402" s="293"/>
      <c r="AR402" s="293"/>
      <c r="AS402" s="293"/>
      <c r="AT402" s="293"/>
      <c r="AU402" s="293"/>
      <c r="AV402" s="293"/>
      <c r="AW402" s="293"/>
      <c r="AX402" s="293"/>
      <c r="AY402" s="293"/>
      <c r="AZ402" s="293"/>
      <c r="BA402" s="293"/>
      <c r="BB402" s="293"/>
      <c r="BC402" s="293"/>
      <c r="BD402" s="293"/>
      <c r="BE402" s="293"/>
      <c r="BF402" s="293"/>
      <c r="BG402" s="293"/>
      <c r="BH402" s="293"/>
      <c r="BI402" s="293"/>
      <c r="BJ402" s="293"/>
      <c r="BK402" s="293"/>
      <c r="BL402" s="293"/>
      <c r="BM402" s="293"/>
      <c r="BN402" s="293"/>
      <c r="BO402" s="293"/>
      <c r="BP402" s="293"/>
      <c r="BQ402" s="293"/>
      <c r="BR402" s="293"/>
      <c r="BS402" s="293"/>
      <c r="BT402" s="293"/>
      <c r="BU402" s="293"/>
      <c r="BV402" s="293"/>
      <c r="BW402" s="293"/>
      <c r="BX402" s="293"/>
      <c r="BY402" s="293"/>
      <c r="BZ402" s="293"/>
      <c r="CA402" s="293"/>
      <c r="CB402" s="293"/>
      <c r="CC402" s="293"/>
      <c r="CD402" s="293"/>
      <c r="CE402" s="293"/>
      <c r="CF402" s="293"/>
      <c r="CG402" s="293"/>
      <c r="CH402" s="293"/>
      <c r="CI402" s="293"/>
      <c r="CJ402" s="293"/>
      <c r="CK402" s="293"/>
      <c r="CL402" s="293"/>
      <c r="CM402" s="293"/>
      <c r="CN402" s="293"/>
      <c r="CO402" s="293"/>
      <c r="CP402" s="293"/>
      <c r="CQ402" s="293"/>
      <c r="CR402" s="293"/>
      <c r="CS402" s="293"/>
      <c r="CT402" s="293"/>
      <c r="CU402" s="293"/>
      <c r="CV402" s="293"/>
      <c r="CW402" s="293"/>
      <c r="CX402" s="293"/>
      <c r="CY402" s="293"/>
    </row>
    <row r="403" spans="1:103" s="351" customFormat="1" ht="15.75" x14ac:dyDescent="0.25">
      <c r="A403" s="407"/>
      <c r="B403" s="483" t="s">
        <v>1341</v>
      </c>
      <c r="C403" s="469">
        <v>-169.95</v>
      </c>
      <c r="D403" s="409"/>
      <c r="E403" s="110"/>
      <c r="F403" s="409"/>
      <c r="G403" s="410"/>
      <c r="H403" s="494"/>
      <c r="I403" s="412">
        <v>-1322</v>
      </c>
      <c r="J403" s="408"/>
      <c r="K403" s="464"/>
      <c r="L403" s="290">
        <f>+J403</f>
        <v>0</v>
      </c>
      <c r="M403" s="411"/>
      <c r="N403" s="440"/>
      <c r="O403" s="436"/>
      <c r="P403" s="409"/>
      <c r="Q403" s="409"/>
      <c r="R403" s="409"/>
      <c r="S403" s="409"/>
      <c r="T403" s="409"/>
      <c r="U403" s="409"/>
      <c r="V403" s="409"/>
      <c r="W403" s="522"/>
      <c r="X403" s="412"/>
      <c r="Y403" s="412"/>
      <c r="Z403" s="412"/>
      <c r="AA403" s="412"/>
      <c r="AB403" s="412"/>
      <c r="AC403" s="412"/>
      <c r="AD403" s="412"/>
      <c r="AE403" s="414"/>
      <c r="AF403" s="413"/>
      <c r="AG403" s="293"/>
      <c r="AH403" s="293"/>
      <c r="AI403" s="293"/>
      <c r="AJ403" s="293"/>
      <c r="AK403" s="293"/>
      <c r="AL403" s="293"/>
      <c r="AM403" s="293"/>
      <c r="AN403" s="293"/>
      <c r="AO403" s="293"/>
      <c r="AP403" s="293"/>
      <c r="AQ403" s="293"/>
      <c r="AR403" s="293"/>
      <c r="AS403" s="293"/>
      <c r="AT403" s="293"/>
      <c r="AU403" s="293"/>
      <c r="AV403" s="293"/>
      <c r="AW403" s="293"/>
      <c r="AX403" s="293"/>
      <c r="AY403" s="293"/>
      <c r="AZ403" s="293"/>
      <c r="BA403" s="293"/>
      <c r="BB403" s="293"/>
      <c r="BC403" s="293"/>
      <c r="BD403" s="293"/>
      <c r="BE403" s="293"/>
      <c r="BF403" s="293"/>
      <c r="BG403" s="293"/>
      <c r="BH403" s="293"/>
      <c r="BI403" s="293"/>
      <c r="BJ403" s="293"/>
      <c r="BK403" s="293"/>
      <c r="BL403" s="293"/>
      <c r="BM403" s="293"/>
      <c r="BN403" s="293"/>
      <c r="BO403" s="293"/>
      <c r="BP403" s="293"/>
      <c r="BQ403" s="293"/>
      <c r="BR403" s="293"/>
      <c r="BS403" s="293"/>
      <c r="BT403" s="293"/>
      <c r="BU403" s="293"/>
      <c r="BV403" s="293"/>
      <c r="BW403" s="293"/>
      <c r="BX403" s="293"/>
      <c r="BY403" s="293"/>
      <c r="BZ403" s="293"/>
      <c r="CA403" s="293"/>
      <c r="CB403" s="293"/>
      <c r="CC403" s="293"/>
      <c r="CD403" s="293"/>
      <c r="CE403" s="293"/>
      <c r="CF403" s="293"/>
      <c r="CG403" s="293"/>
      <c r="CH403" s="293"/>
      <c r="CI403" s="293"/>
      <c r="CJ403" s="293"/>
      <c r="CK403" s="293"/>
      <c r="CL403" s="293"/>
      <c r="CM403" s="293"/>
      <c r="CN403" s="293"/>
      <c r="CO403" s="293"/>
      <c r="CP403" s="293"/>
      <c r="CQ403" s="293"/>
      <c r="CR403" s="293"/>
      <c r="CS403" s="293"/>
      <c r="CT403" s="293"/>
      <c r="CU403" s="293"/>
      <c r="CV403" s="293"/>
      <c r="CW403" s="293"/>
      <c r="CX403" s="293"/>
      <c r="CY403" s="293"/>
    </row>
    <row r="404" spans="1:103" s="344" customFormat="1" ht="21" x14ac:dyDescent="0.35">
      <c r="A404" s="513" t="s">
        <v>280</v>
      </c>
      <c r="B404" s="473" t="s">
        <v>283</v>
      </c>
      <c r="C404" s="429">
        <f>+C406+C411+C417+C424+C429+C437</f>
        <v>113823.44</v>
      </c>
      <c r="D404" s="339">
        <f>+D406+D411+D417+D424+D429+D437</f>
        <v>125372.6</v>
      </c>
      <c r="E404" s="501">
        <f>+E406+E411+E417+E424+E429+E437</f>
        <v>109253.35</v>
      </c>
      <c r="F404" s="339">
        <f>+F406+F411+F417+F424+F429+F437</f>
        <v>133757.45000000001</v>
      </c>
      <c r="G404" s="340">
        <f t="shared" si="151"/>
        <v>0.93731302443340536</v>
      </c>
      <c r="H404" s="488">
        <f>+F404/C404</f>
        <v>1.1751309747798873</v>
      </c>
      <c r="I404" s="288">
        <v>121698</v>
      </c>
      <c r="J404" s="339">
        <f>+O404+P404+Q404+R404+S404+T404+U404+V404+W404</f>
        <v>116782.5</v>
      </c>
      <c r="K404" s="288">
        <v>121056.57</v>
      </c>
      <c r="L404" s="288">
        <f t="shared" si="157"/>
        <v>125201.25</v>
      </c>
      <c r="M404" s="342">
        <f>+J404/L404</f>
        <v>0.93275825920268363</v>
      </c>
      <c r="N404" s="341">
        <f>+L404/I404</f>
        <v>1.0287864221269043</v>
      </c>
      <c r="O404" s="429">
        <f t="shared" ref="O404:W404" si="161">O406+O411+O417+O424+O429+O437</f>
        <v>2800</v>
      </c>
      <c r="P404" s="339">
        <f t="shared" si="161"/>
        <v>19938</v>
      </c>
      <c r="Q404" s="339">
        <f t="shared" si="161"/>
        <v>50156.4</v>
      </c>
      <c r="R404" s="339">
        <f t="shared" si="161"/>
        <v>43688.1</v>
      </c>
      <c r="S404" s="339">
        <f t="shared" si="161"/>
        <v>0</v>
      </c>
      <c r="T404" s="339">
        <f t="shared" si="161"/>
        <v>0</v>
      </c>
      <c r="U404" s="339">
        <f t="shared" si="161"/>
        <v>200</v>
      </c>
      <c r="V404" s="339">
        <f t="shared" si="161"/>
        <v>0</v>
      </c>
      <c r="W404" s="461">
        <f t="shared" si="161"/>
        <v>0</v>
      </c>
      <c r="X404" s="288">
        <f>X406+X411+X417+X424+X429+X437</f>
        <v>2800</v>
      </c>
      <c r="Y404" s="288">
        <f>Y406+Y411+Y417+Y424+Y429+Y437</f>
        <v>16018</v>
      </c>
      <c r="Z404" s="288">
        <f>Z406+Z411+Z417+Z424+Z429+Z437</f>
        <v>62695.25</v>
      </c>
      <c r="AA404" s="288">
        <f>AA406+AA411+AA417+AA424+AA429+AA437</f>
        <v>43688</v>
      </c>
      <c r="AB404" s="288"/>
      <c r="AC404" s="288">
        <f>+AC406+AC411+AC417+AC424+AC429+AC437</f>
        <v>0</v>
      </c>
      <c r="AD404" s="288">
        <f>+AD406+AD411+AD417+AD424+AD429+AD437</f>
        <v>0</v>
      </c>
      <c r="AE404" s="288">
        <f>+AE406+AE411+AE417+AE424+AE429+AE437</f>
        <v>0</v>
      </c>
      <c r="AF404" s="289">
        <f>+AF406+AF411+AF417+AF424+AF429+AF437</f>
        <v>0</v>
      </c>
      <c r="AG404" s="343"/>
      <c r="AH404" s="343"/>
      <c r="AI404" s="343"/>
      <c r="AJ404" s="343"/>
      <c r="AK404" s="343"/>
      <c r="AL404" s="343"/>
      <c r="AM404" s="343"/>
      <c r="AN404" s="343"/>
      <c r="AO404" s="343"/>
      <c r="AP404" s="343"/>
      <c r="AQ404" s="343"/>
      <c r="AR404" s="343"/>
      <c r="AS404" s="343"/>
      <c r="AT404" s="343"/>
      <c r="AU404" s="343"/>
      <c r="AV404" s="343"/>
      <c r="AW404" s="343"/>
      <c r="AX404" s="343"/>
      <c r="AY404" s="343"/>
      <c r="AZ404" s="343"/>
      <c r="BA404" s="343"/>
      <c r="BB404" s="343"/>
      <c r="BC404" s="343"/>
      <c r="BD404" s="343"/>
      <c r="BE404" s="343"/>
      <c r="BF404" s="343"/>
      <c r="BG404" s="343"/>
      <c r="BH404" s="343"/>
      <c r="BI404" s="343"/>
      <c r="BJ404" s="343"/>
      <c r="BK404" s="343"/>
      <c r="BL404" s="343"/>
      <c r="BM404" s="343"/>
      <c r="BN404" s="343"/>
      <c r="BO404" s="343"/>
      <c r="BP404" s="343"/>
      <c r="BQ404" s="343"/>
      <c r="BR404" s="343"/>
      <c r="BS404" s="343"/>
      <c r="BT404" s="343"/>
      <c r="BU404" s="343"/>
      <c r="BV404" s="343"/>
      <c r="BW404" s="343"/>
      <c r="BX404" s="343"/>
      <c r="BY404" s="343"/>
      <c r="BZ404" s="343"/>
      <c r="CA404" s="343"/>
      <c r="CB404" s="343"/>
      <c r="CC404" s="343"/>
      <c r="CD404" s="343"/>
      <c r="CE404" s="343"/>
      <c r="CF404" s="343"/>
      <c r="CG404" s="343"/>
      <c r="CH404" s="343"/>
      <c r="CI404" s="343"/>
      <c r="CJ404" s="343"/>
      <c r="CK404" s="343"/>
      <c r="CL404" s="343"/>
      <c r="CM404" s="343"/>
      <c r="CN404" s="343"/>
      <c r="CO404" s="343"/>
      <c r="CP404" s="343"/>
      <c r="CQ404" s="343"/>
      <c r="CR404" s="343"/>
      <c r="CS404" s="343"/>
      <c r="CT404" s="343"/>
      <c r="CU404" s="343"/>
      <c r="CV404" s="343"/>
      <c r="CW404" s="343"/>
      <c r="CX404" s="343"/>
      <c r="CY404" s="343"/>
    </row>
    <row r="405" spans="1:103" s="344" customFormat="1" ht="21" x14ac:dyDescent="0.35">
      <c r="A405" s="394"/>
      <c r="B405" s="479" t="s">
        <v>1343</v>
      </c>
      <c r="C405" s="434"/>
      <c r="D405" s="415"/>
      <c r="E405" s="507"/>
      <c r="F405" s="415"/>
      <c r="G405" s="416"/>
      <c r="H405" s="495"/>
      <c r="I405" s="386">
        <v>7875</v>
      </c>
      <c r="J405" s="383">
        <v>33142</v>
      </c>
      <c r="K405" s="386"/>
      <c r="L405" s="386">
        <f>+J405</f>
        <v>33142</v>
      </c>
      <c r="M405" s="395"/>
      <c r="N405" s="417"/>
      <c r="O405" s="434">
        <f>+X405*1.01</f>
        <v>0</v>
      </c>
      <c r="P405" s="415"/>
      <c r="Q405" s="415"/>
      <c r="R405" s="415"/>
      <c r="S405" s="415"/>
      <c r="T405" s="415"/>
      <c r="U405" s="415"/>
      <c r="V405" s="415"/>
      <c r="W405" s="521"/>
      <c r="X405" s="396"/>
      <c r="Y405" s="396"/>
      <c r="Z405" s="396"/>
      <c r="AA405" s="396"/>
      <c r="AB405" s="396"/>
      <c r="AC405" s="396"/>
      <c r="AD405" s="396"/>
      <c r="AE405" s="396"/>
      <c r="AF405" s="397"/>
      <c r="AG405" s="343"/>
      <c r="AH405" s="343"/>
      <c r="AI405" s="343"/>
      <c r="AJ405" s="343"/>
      <c r="AK405" s="343"/>
      <c r="AL405" s="343"/>
      <c r="AM405" s="343"/>
      <c r="AN405" s="343"/>
      <c r="AO405" s="343"/>
      <c r="AP405" s="343"/>
      <c r="AQ405" s="343"/>
      <c r="AR405" s="343"/>
      <c r="AS405" s="343"/>
      <c r="AT405" s="343"/>
      <c r="AU405" s="343"/>
      <c r="AV405" s="343"/>
      <c r="AW405" s="343"/>
      <c r="AX405" s="343"/>
      <c r="AY405" s="343"/>
      <c r="AZ405" s="343"/>
      <c r="BA405" s="343"/>
      <c r="BB405" s="343"/>
      <c r="BC405" s="343"/>
      <c r="BD405" s="343"/>
      <c r="BE405" s="343"/>
      <c r="BF405" s="343"/>
      <c r="BG405" s="343"/>
      <c r="BH405" s="343"/>
      <c r="BI405" s="343"/>
      <c r="BJ405" s="343"/>
      <c r="BK405" s="343"/>
      <c r="BL405" s="343"/>
      <c r="BM405" s="343"/>
      <c r="BN405" s="343"/>
      <c r="BO405" s="343"/>
      <c r="BP405" s="343"/>
      <c r="BQ405" s="343"/>
      <c r="BR405" s="343"/>
      <c r="BS405" s="343"/>
      <c r="BT405" s="343"/>
      <c r="BU405" s="343"/>
      <c r="BV405" s="343"/>
      <c r="BW405" s="343"/>
      <c r="BX405" s="343"/>
      <c r="BY405" s="343"/>
      <c r="BZ405" s="343"/>
      <c r="CA405" s="343"/>
      <c r="CB405" s="343"/>
      <c r="CC405" s="343"/>
      <c r="CD405" s="343"/>
      <c r="CE405" s="343"/>
      <c r="CF405" s="343"/>
      <c r="CG405" s="343"/>
      <c r="CH405" s="343"/>
      <c r="CI405" s="343"/>
      <c r="CJ405" s="343"/>
      <c r="CK405" s="343"/>
      <c r="CL405" s="343"/>
      <c r="CM405" s="343"/>
      <c r="CN405" s="343"/>
      <c r="CO405" s="343"/>
      <c r="CP405" s="343"/>
      <c r="CQ405" s="343"/>
      <c r="CR405" s="343"/>
      <c r="CS405" s="343"/>
      <c r="CT405" s="343"/>
      <c r="CU405" s="343"/>
      <c r="CV405" s="343"/>
      <c r="CW405" s="343"/>
      <c r="CX405" s="343"/>
      <c r="CY405" s="343"/>
    </row>
    <row r="406" spans="1:103" s="351" customFormat="1" ht="15.75" x14ac:dyDescent="0.25">
      <c r="A406" s="345" t="s">
        <v>289</v>
      </c>
      <c r="B406" s="474" t="s">
        <v>265</v>
      </c>
      <c r="C406" s="430">
        <f>+C407+C408+C409+C410</f>
        <v>1911.78</v>
      </c>
      <c r="D406" s="455">
        <f>+D407+D408+D409+D410</f>
        <v>3000</v>
      </c>
      <c r="E406" s="274">
        <f>+E407+E408+E409+E410</f>
        <v>1129.57</v>
      </c>
      <c r="F406" s="455">
        <f>+F407+F408+F409+F410</f>
        <v>2000</v>
      </c>
      <c r="G406" s="292">
        <f t="shared" si="151"/>
        <v>1.5</v>
      </c>
      <c r="H406" s="489">
        <f t="shared" ref="H406:H414" si="162">+F406/C406</f>
        <v>1.0461454769900302</v>
      </c>
      <c r="I406" s="349"/>
      <c r="J406" s="347">
        <f>SUM(J407:J410)</f>
        <v>3000</v>
      </c>
      <c r="K406" s="291"/>
      <c r="L406" s="291">
        <f t="shared" si="157"/>
        <v>1000</v>
      </c>
      <c r="M406" s="348">
        <f>+J406/L406</f>
        <v>3</v>
      </c>
      <c r="N406" s="392"/>
      <c r="O406" s="430">
        <f>+O407+O408+O409+O410</f>
        <v>1000</v>
      </c>
      <c r="P406" s="455">
        <f t="shared" ref="P406:AF406" si="163">SUM(P407:P410)</f>
        <v>2000</v>
      </c>
      <c r="Q406" s="455">
        <f t="shared" si="163"/>
        <v>0</v>
      </c>
      <c r="R406" s="455">
        <f t="shared" si="163"/>
        <v>0</v>
      </c>
      <c r="S406" s="455">
        <f t="shared" si="163"/>
        <v>0</v>
      </c>
      <c r="T406" s="455">
        <f t="shared" si="163"/>
        <v>0</v>
      </c>
      <c r="U406" s="455">
        <f t="shared" si="163"/>
        <v>0</v>
      </c>
      <c r="V406" s="455">
        <f t="shared" si="163"/>
        <v>0</v>
      </c>
      <c r="W406" s="350">
        <f t="shared" si="163"/>
        <v>0</v>
      </c>
      <c r="X406" s="349">
        <f t="shared" si="163"/>
        <v>1000</v>
      </c>
      <c r="Y406" s="455">
        <f t="shared" si="163"/>
        <v>0</v>
      </c>
      <c r="Z406" s="455">
        <f t="shared" si="163"/>
        <v>0</v>
      </c>
      <c r="AA406" s="455">
        <f t="shared" si="163"/>
        <v>0</v>
      </c>
      <c r="AB406" s="455">
        <f t="shared" si="163"/>
        <v>0</v>
      </c>
      <c r="AC406" s="455">
        <f t="shared" si="163"/>
        <v>0</v>
      </c>
      <c r="AD406" s="455">
        <f t="shared" si="163"/>
        <v>0</v>
      </c>
      <c r="AE406" s="455">
        <f t="shared" si="163"/>
        <v>0</v>
      </c>
      <c r="AF406" s="350">
        <f t="shared" si="163"/>
        <v>0</v>
      </c>
      <c r="AG406" s="293"/>
      <c r="AH406" s="293"/>
      <c r="AI406" s="293"/>
      <c r="AJ406" s="293"/>
      <c r="AK406" s="293"/>
      <c r="AL406" s="293"/>
      <c r="AM406" s="293"/>
      <c r="AN406" s="293"/>
      <c r="AO406" s="293"/>
      <c r="AP406" s="293"/>
      <c r="AQ406" s="293"/>
      <c r="AR406" s="293"/>
      <c r="AS406" s="293"/>
      <c r="AT406" s="293"/>
      <c r="AU406" s="293"/>
      <c r="AV406" s="293"/>
      <c r="AW406" s="293"/>
      <c r="AX406" s="293"/>
      <c r="AY406" s="293"/>
      <c r="AZ406" s="293"/>
      <c r="BA406" s="293"/>
      <c r="BB406" s="293"/>
      <c r="BC406" s="293"/>
      <c r="BD406" s="293"/>
      <c r="BE406" s="293"/>
      <c r="BF406" s="293"/>
      <c r="BG406" s="293"/>
      <c r="BH406" s="293"/>
      <c r="BI406" s="293"/>
      <c r="BJ406" s="293"/>
      <c r="BK406" s="293"/>
      <c r="BL406" s="293"/>
      <c r="BM406" s="293"/>
      <c r="BN406" s="293"/>
      <c r="BO406" s="293"/>
      <c r="BP406" s="293"/>
      <c r="BQ406" s="293"/>
      <c r="BR406" s="293"/>
      <c r="BS406" s="293"/>
      <c r="BT406" s="293"/>
      <c r="BU406" s="293"/>
      <c r="BV406" s="293"/>
      <c r="BW406" s="293"/>
      <c r="BX406" s="293"/>
      <c r="BY406" s="293"/>
      <c r="BZ406" s="293"/>
      <c r="CA406" s="293"/>
      <c r="CB406" s="293"/>
      <c r="CC406" s="293"/>
      <c r="CD406" s="293"/>
      <c r="CE406" s="293"/>
      <c r="CF406" s="293"/>
      <c r="CG406" s="293"/>
      <c r="CH406" s="293"/>
      <c r="CI406" s="293"/>
      <c r="CJ406" s="293"/>
      <c r="CK406" s="293"/>
      <c r="CL406" s="293"/>
      <c r="CM406" s="293"/>
      <c r="CN406" s="293"/>
      <c r="CO406" s="293"/>
      <c r="CP406" s="293"/>
      <c r="CQ406" s="293"/>
      <c r="CR406" s="293"/>
      <c r="CS406" s="293"/>
      <c r="CT406" s="293"/>
      <c r="CU406" s="293"/>
      <c r="CV406" s="293"/>
      <c r="CW406" s="293"/>
      <c r="CX406" s="293"/>
      <c r="CY406" s="293"/>
    </row>
    <row r="407" spans="1:103" outlineLevel="1" x14ac:dyDescent="0.25">
      <c r="A407" s="358" t="s">
        <v>290</v>
      </c>
      <c r="B407" s="475" t="s">
        <v>284</v>
      </c>
      <c r="C407" s="431">
        <v>29.92</v>
      </c>
      <c r="D407" s="119">
        <f>+J407</f>
        <v>200</v>
      </c>
      <c r="E407" s="110">
        <v>89.73</v>
      </c>
      <c r="F407" s="119">
        <f>+L407</f>
        <v>200</v>
      </c>
      <c r="G407" s="294">
        <f t="shared" si="151"/>
        <v>1</v>
      </c>
      <c r="H407" s="490">
        <f t="shared" si="162"/>
        <v>6.6844919786096249</v>
      </c>
      <c r="I407" s="290"/>
      <c r="J407" s="119">
        <f t="shared" ref="J407:J439" si="164">+O407+P407+Q407+R407+S407+T407+U407+V407+W407</f>
        <v>200</v>
      </c>
      <c r="K407" s="290"/>
      <c r="L407" s="290">
        <f t="shared" si="157"/>
        <v>200</v>
      </c>
      <c r="M407" s="354">
        <f>+J407/L407</f>
        <v>1</v>
      </c>
      <c r="N407" s="353"/>
      <c r="O407" s="431">
        <f>+X407</f>
        <v>200</v>
      </c>
      <c r="P407" s="119"/>
      <c r="Q407" s="119"/>
      <c r="R407" s="119"/>
      <c r="S407" s="119"/>
      <c r="T407" s="119"/>
      <c r="U407" s="119"/>
      <c r="V407" s="119"/>
      <c r="W407" s="356"/>
      <c r="X407" s="290">
        <v>200</v>
      </c>
      <c r="Y407" s="119"/>
      <c r="Z407" s="119"/>
      <c r="AA407" s="119"/>
      <c r="AB407" s="119"/>
      <c r="AC407" s="119"/>
      <c r="AD407" s="119"/>
      <c r="AE407" s="355"/>
      <c r="AF407" s="356"/>
    </row>
    <row r="408" spans="1:103" outlineLevel="1" x14ac:dyDescent="0.25">
      <c r="A408" s="352" t="s">
        <v>291</v>
      </c>
      <c r="B408" s="475" t="s">
        <v>310</v>
      </c>
      <c r="C408" s="431">
        <v>506.52000000000004</v>
      </c>
      <c r="D408" s="119">
        <f>+J408</f>
        <v>500</v>
      </c>
      <c r="E408" s="110">
        <v>242.28</v>
      </c>
      <c r="F408" s="119">
        <f>+L408</f>
        <v>500</v>
      </c>
      <c r="G408" s="294">
        <f t="shared" si="151"/>
        <v>1</v>
      </c>
      <c r="H408" s="490">
        <f t="shared" si="162"/>
        <v>0.98712785279949455</v>
      </c>
      <c r="I408" s="290"/>
      <c r="J408" s="119">
        <f t="shared" si="164"/>
        <v>500</v>
      </c>
      <c r="K408" s="290"/>
      <c r="L408" s="290">
        <f t="shared" si="157"/>
        <v>500</v>
      </c>
      <c r="M408" s="354">
        <f>+J408/L408</f>
        <v>1</v>
      </c>
      <c r="N408" s="353"/>
      <c r="O408" s="431">
        <f>+X408</f>
        <v>500</v>
      </c>
      <c r="P408" s="119"/>
      <c r="Q408" s="119"/>
      <c r="R408" s="119"/>
      <c r="S408" s="119"/>
      <c r="T408" s="119"/>
      <c r="U408" s="119"/>
      <c r="V408" s="119"/>
      <c r="W408" s="356"/>
      <c r="X408" s="290">
        <v>500</v>
      </c>
      <c r="Y408" s="119"/>
      <c r="Z408" s="119"/>
      <c r="AA408" s="119"/>
      <c r="AB408" s="119"/>
      <c r="AC408" s="119"/>
      <c r="AD408" s="119"/>
      <c r="AE408" s="355"/>
      <c r="AF408" s="356"/>
    </row>
    <row r="409" spans="1:103" outlineLevel="1" x14ac:dyDescent="0.25">
      <c r="A409" s="352" t="s">
        <v>292</v>
      </c>
      <c r="B409" s="475" t="s">
        <v>285</v>
      </c>
      <c r="C409" s="431">
        <v>254.56</v>
      </c>
      <c r="D409" s="119">
        <f>+J409</f>
        <v>300</v>
      </c>
      <c r="E409" s="110"/>
      <c r="F409" s="119">
        <f>+L409</f>
        <v>300</v>
      </c>
      <c r="G409" s="294">
        <f t="shared" si="151"/>
        <v>1</v>
      </c>
      <c r="H409" s="490">
        <f t="shared" si="162"/>
        <v>1.1785040854808297</v>
      </c>
      <c r="I409" s="290"/>
      <c r="J409" s="119">
        <f t="shared" si="164"/>
        <v>300</v>
      </c>
      <c r="K409" s="290"/>
      <c r="L409" s="290">
        <f t="shared" si="157"/>
        <v>300</v>
      </c>
      <c r="M409" s="354">
        <f>+J409/L409</f>
        <v>1</v>
      </c>
      <c r="N409" s="353"/>
      <c r="O409" s="431">
        <f>+X409</f>
        <v>300</v>
      </c>
      <c r="P409" s="119"/>
      <c r="Q409" s="119"/>
      <c r="R409" s="119"/>
      <c r="S409" s="119"/>
      <c r="T409" s="119"/>
      <c r="U409" s="119"/>
      <c r="V409" s="119"/>
      <c r="W409" s="356"/>
      <c r="X409" s="290">
        <v>300</v>
      </c>
      <c r="Y409" s="119"/>
      <c r="Z409" s="119"/>
      <c r="AA409" s="119"/>
      <c r="AB409" s="119"/>
      <c r="AC409" s="119"/>
      <c r="AD409" s="119"/>
      <c r="AE409" s="355"/>
      <c r="AF409" s="356"/>
    </row>
    <row r="410" spans="1:103" outlineLevel="1" x14ac:dyDescent="0.25">
      <c r="A410" s="352" t="s">
        <v>1104</v>
      </c>
      <c r="B410" s="475" t="s">
        <v>47</v>
      </c>
      <c r="C410" s="431">
        <v>1120.78</v>
      </c>
      <c r="D410" s="119">
        <f>+J410</f>
        <v>2000</v>
      </c>
      <c r="E410" s="110">
        <v>797.56</v>
      </c>
      <c r="F410" s="119">
        <v>1000</v>
      </c>
      <c r="G410" s="294">
        <f t="shared" si="151"/>
        <v>2</v>
      </c>
      <c r="H410" s="490">
        <f t="shared" si="162"/>
        <v>0.89223576437837937</v>
      </c>
      <c r="I410" s="290"/>
      <c r="J410" s="119">
        <f t="shared" si="164"/>
        <v>2000</v>
      </c>
      <c r="K410" s="290"/>
      <c r="L410" s="290">
        <f t="shared" si="157"/>
        <v>0</v>
      </c>
      <c r="M410" s="354"/>
      <c r="N410" s="353"/>
      <c r="O410" s="431"/>
      <c r="P410" s="119">
        <v>2000</v>
      </c>
      <c r="Q410" s="119"/>
      <c r="R410" s="119"/>
      <c r="S410" s="119"/>
      <c r="T410" s="119"/>
      <c r="U410" s="119"/>
      <c r="V410" s="119"/>
      <c r="W410" s="356"/>
      <c r="X410" s="290"/>
      <c r="Y410" s="119"/>
      <c r="Z410" s="119"/>
      <c r="AA410" s="119"/>
      <c r="AB410" s="119"/>
      <c r="AC410" s="119"/>
      <c r="AD410" s="119"/>
      <c r="AE410" s="355"/>
      <c r="AF410" s="356"/>
    </row>
    <row r="411" spans="1:103" s="351" customFormat="1" ht="15.75" x14ac:dyDescent="0.25">
      <c r="A411" s="345" t="s">
        <v>294</v>
      </c>
      <c r="B411" s="474" t="s">
        <v>248</v>
      </c>
      <c r="C411" s="430">
        <f>+C412+C413+C414+C415+C416</f>
        <v>16638.580000000002</v>
      </c>
      <c r="D411" s="455">
        <f>+D412+D413+D414+D415+D416</f>
        <v>21900</v>
      </c>
      <c r="E411" s="274">
        <f>+E412+E413+E414+E415+E416</f>
        <v>19590.509999999998</v>
      </c>
      <c r="F411" s="455">
        <f>+F412+F413+F414+F415+F416</f>
        <v>23500</v>
      </c>
      <c r="G411" s="292">
        <f t="shared" si="151"/>
        <v>0.93191489361702129</v>
      </c>
      <c r="H411" s="489">
        <f t="shared" si="162"/>
        <v>1.4123801430170122</v>
      </c>
      <c r="I411" s="349"/>
      <c r="J411" s="347">
        <f>SUM(J412:J416)</f>
        <v>13310</v>
      </c>
      <c r="K411" s="291"/>
      <c r="L411" s="291">
        <f t="shared" si="157"/>
        <v>12390</v>
      </c>
      <c r="M411" s="348">
        <f>+J411/L411</f>
        <v>1.0742534301856337</v>
      </c>
      <c r="N411" s="392"/>
      <c r="O411" s="430">
        <f>+O412+O413+O414+O415+O416</f>
        <v>0</v>
      </c>
      <c r="P411" s="455">
        <f t="shared" ref="P411:AF411" si="165">SUM(P412:P416)</f>
        <v>13310</v>
      </c>
      <c r="Q411" s="455">
        <f t="shared" si="165"/>
        <v>0</v>
      </c>
      <c r="R411" s="455">
        <f t="shared" si="165"/>
        <v>0</v>
      </c>
      <c r="S411" s="455">
        <f t="shared" si="165"/>
        <v>0</v>
      </c>
      <c r="T411" s="455">
        <f t="shared" si="165"/>
        <v>0</v>
      </c>
      <c r="U411" s="455">
        <f t="shared" si="165"/>
        <v>0</v>
      </c>
      <c r="V411" s="455">
        <f t="shared" si="165"/>
        <v>0</v>
      </c>
      <c r="W411" s="350">
        <f t="shared" si="165"/>
        <v>0</v>
      </c>
      <c r="X411" s="349">
        <f t="shared" si="165"/>
        <v>0</v>
      </c>
      <c r="Y411" s="455">
        <f t="shared" si="165"/>
        <v>12390</v>
      </c>
      <c r="Z411" s="455">
        <f t="shared" si="165"/>
        <v>0</v>
      </c>
      <c r="AA411" s="455">
        <f t="shared" si="165"/>
        <v>0</v>
      </c>
      <c r="AB411" s="455">
        <f t="shared" si="165"/>
        <v>0</v>
      </c>
      <c r="AC411" s="455">
        <f t="shared" si="165"/>
        <v>0</v>
      </c>
      <c r="AD411" s="455">
        <f t="shared" si="165"/>
        <v>0</v>
      </c>
      <c r="AE411" s="455">
        <f t="shared" si="165"/>
        <v>0</v>
      </c>
      <c r="AF411" s="350">
        <f t="shared" si="165"/>
        <v>0</v>
      </c>
      <c r="AG411" s="293"/>
      <c r="AH411" s="293"/>
      <c r="AI411" s="293"/>
      <c r="AJ411" s="293"/>
      <c r="AK411" s="293"/>
      <c r="AL411" s="293"/>
      <c r="AM411" s="293"/>
      <c r="AN411" s="293"/>
      <c r="AO411" s="293"/>
      <c r="AP411" s="293"/>
      <c r="AQ411" s="293"/>
      <c r="AR411" s="293"/>
      <c r="AS411" s="293"/>
      <c r="AT411" s="293"/>
      <c r="AU411" s="293"/>
      <c r="AV411" s="293"/>
      <c r="AW411" s="293"/>
      <c r="AX411" s="293"/>
      <c r="AY411" s="293"/>
      <c r="AZ411" s="293"/>
      <c r="BA411" s="293"/>
      <c r="BB411" s="293"/>
      <c r="BC411" s="293"/>
      <c r="BD411" s="293"/>
      <c r="BE411" s="293"/>
      <c r="BF411" s="293"/>
      <c r="BG411" s="293"/>
      <c r="BH411" s="293"/>
      <c r="BI411" s="293"/>
      <c r="BJ411" s="293"/>
      <c r="BK411" s="293"/>
      <c r="BL411" s="293"/>
      <c r="BM411" s="293"/>
      <c r="BN411" s="293"/>
      <c r="BO411" s="293"/>
      <c r="BP411" s="293"/>
      <c r="BQ411" s="293"/>
      <c r="BR411" s="293"/>
      <c r="BS411" s="293"/>
      <c r="BT411" s="293"/>
      <c r="BU411" s="293"/>
      <c r="BV411" s="293"/>
      <c r="BW411" s="293"/>
      <c r="BX411" s="293"/>
      <c r="BY411" s="293"/>
      <c r="BZ411" s="293"/>
      <c r="CA411" s="293"/>
      <c r="CB411" s="293"/>
      <c r="CC411" s="293"/>
      <c r="CD411" s="293"/>
      <c r="CE411" s="293"/>
      <c r="CF411" s="293"/>
      <c r="CG411" s="293"/>
      <c r="CH411" s="293"/>
      <c r="CI411" s="293"/>
      <c r="CJ411" s="293"/>
      <c r="CK411" s="293"/>
      <c r="CL411" s="293"/>
      <c r="CM411" s="293"/>
      <c r="CN411" s="293"/>
      <c r="CO411" s="293"/>
      <c r="CP411" s="293"/>
      <c r="CQ411" s="293"/>
      <c r="CR411" s="293"/>
      <c r="CS411" s="293"/>
      <c r="CT411" s="293"/>
      <c r="CU411" s="293"/>
      <c r="CV411" s="293"/>
      <c r="CW411" s="293"/>
      <c r="CX411" s="293"/>
      <c r="CY411" s="293"/>
    </row>
    <row r="412" spans="1:103" outlineLevel="1" x14ac:dyDescent="0.25">
      <c r="A412" s="352" t="s">
        <v>295</v>
      </c>
      <c r="B412" s="475" t="s">
        <v>267</v>
      </c>
      <c r="C412" s="431">
        <v>8809.6100000000024</v>
      </c>
      <c r="D412" s="119">
        <v>9000</v>
      </c>
      <c r="E412" s="110">
        <v>8063.14</v>
      </c>
      <c r="F412" s="119">
        <v>8000</v>
      </c>
      <c r="G412" s="294">
        <f t="shared" si="151"/>
        <v>1.125</v>
      </c>
      <c r="H412" s="490">
        <f t="shared" si="162"/>
        <v>0.90809922346165128</v>
      </c>
      <c r="I412" s="290"/>
      <c r="J412" s="119">
        <f t="shared" si="164"/>
        <v>4350</v>
      </c>
      <c r="K412" s="290"/>
      <c r="L412" s="290">
        <f t="shared" si="157"/>
        <v>4350</v>
      </c>
      <c r="M412" s="354">
        <f>+J412/L412</f>
        <v>1</v>
      </c>
      <c r="N412" s="353"/>
      <c r="O412" s="431"/>
      <c r="P412" s="119">
        <v>4350</v>
      </c>
      <c r="Q412" s="119"/>
      <c r="R412" s="119"/>
      <c r="S412" s="119"/>
      <c r="T412" s="119"/>
      <c r="U412" s="119"/>
      <c r="V412" s="119"/>
      <c r="W412" s="356"/>
      <c r="X412" s="290"/>
      <c r="Y412" s="119">
        <v>4350</v>
      </c>
      <c r="Z412" s="119"/>
      <c r="AA412" s="119"/>
      <c r="AB412" s="119"/>
      <c r="AC412" s="119"/>
      <c r="AD412" s="119"/>
      <c r="AE412" s="355"/>
      <c r="AF412" s="356"/>
    </row>
    <row r="413" spans="1:103" outlineLevel="1" x14ac:dyDescent="0.25">
      <c r="A413" s="352" t="s">
        <v>296</v>
      </c>
      <c r="B413" s="475" t="s">
        <v>251</v>
      </c>
      <c r="C413" s="431">
        <v>7296.21</v>
      </c>
      <c r="D413" s="119">
        <v>8000</v>
      </c>
      <c r="E413" s="110">
        <v>7547.66</v>
      </c>
      <c r="F413" s="119">
        <v>7000</v>
      </c>
      <c r="G413" s="294">
        <f t="shared" si="151"/>
        <v>1.1428571428571428</v>
      </c>
      <c r="H413" s="490">
        <f t="shared" si="162"/>
        <v>0.9594022101885773</v>
      </c>
      <c r="I413" s="290"/>
      <c r="J413" s="119">
        <f t="shared" si="164"/>
        <v>2800</v>
      </c>
      <c r="K413" s="290"/>
      <c r="L413" s="290">
        <f t="shared" si="157"/>
        <v>2800</v>
      </c>
      <c r="M413" s="354">
        <f>+J413/L413</f>
        <v>1</v>
      </c>
      <c r="N413" s="353"/>
      <c r="O413" s="431"/>
      <c r="P413" s="119">
        <v>2800</v>
      </c>
      <c r="Q413" s="119"/>
      <c r="R413" s="119"/>
      <c r="S413" s="119"/>
      <c r="T413" s="119"/>
      <c r="U413" s="119"/>
      <c r="V413" s="119"/>
      <c r="W413" s="356"/>
      <c r="X413" s="290"/>
      <c r="Y413" s="119">
        <v>2800</v>
      </c>
      <c r="Z413" s="119"/>
      <c r="AA413" s="119"/>
      <c r="AB413" s="119"/>
      <c r="AC413" s="119"/>
      <c r="AD413" s="119"/>
      <c r="AE413" s="355"/>
      <c r="AF413" s="356"/>
    </row>
    <row r="414" spans="1:103" outlineLevel="1" x14ac:dyDescent="0.25">
      <c r="A414" s="352" t="s">
        <v>297</v>
      </c>
      <c r="B414" s="475" t="s">
        <v>856</v>
      </c>
      <c r="C414" s="431">
        <v>482.76000000000005</v>
      </c>
      <c r="D414" s="119">
        <v>600</v>
      </c>
      <c r="E414" s="110">
        <v>566.04999999999995</v>
      </c>
      <c r="F414" s="119">
        <v>1500</v>
      </c>
      <c r="G414" s="294">
        <f t="shared" si="151"/>
        <v>0.4</v>
      </c>
      <c r="H414" s="490">
        <f t="shared" si="162"/>
        <v>3.1071339796172008</v>
      </c>
      <c r="I414" s="290"/>
      <c r="J414" s="119">
        <f t="shared" si="164"/>
        <v>1860</v>
      </c>
      <c r="K414" s="290"/>
      <c r="L414" s="290">
        <f t="shared" si="157"/>
        <v>1240</v>
      </c>
      <c r="M414" s="354">
        <f>+J414/L414</f>
        <v>1.5</v>
      </c>
      <c r="N414" s="353"/>
      <c r="O414" s="431"/>
      <c r="P414" s="119">
        <v>1860</v>
      </c>
      <c r="Q414" s="119"/>
      <c r="R414" s="119"/>
      <c r="S414" s="119"/>
      <c r="T414" s="119"/>
      <c r="U414" s="119"/>
      <c r="V414" s="119"/>
      <c r="W414" s="356"/>
      <c r="X414" s="290"/>
      <c r="Y414" s="119">
        <v>1240</v>
      </c>
      <c r="Z414" s="119"/>
      <c r="AA414" s="119"/>
      <c r="AB414" s="119"/>
      <c r="AC414" s="119"/>
      <c r="AD414" s="119"/>
      <c r="AE414" s="355"/>
      <c r="AF414" s="356"/>
    </row>
    <row r="415" spans="1:103" outlineLevel="1" x14ac:dyDescent="0.25">
      <c r="A415" s="352" t="s">
        <v>819</v>
      </c>
      <c r="B415" s="475" t="s">
        <v>1180</v>
      </c>
      <c r="C415" s="431">
        <v>0</v>
      </c>
      <c r="D415" s="119">
        <f>+J415</f>
        <v>4000</v>
      </c>
      <c r="E415" s="110">
        <v>3413.66</v>
      </c>
      <c r="F415" s="119">
        <v>7000</v>
      </c>
      <c r="G415" s="294">
        <f t="shared" si="151"/>
        <v>0.5714285714285714</v>
      </c>
      <c r="H415" s="490"/>
      <c r="I415" s="290"/>
      <c r="J415" s="119">
        <f t="shared" si="164"/>
        <v>4000</v>
      </c>
      <c r="K415" s="290"/>
      <c r="L415" s="290">
        <f t="shared" si="157"/>
        <v>4000</v>
      </c>
      <c r="M415" s="354">
        <f>+J415/L415</f>
        <v>1</v>
      </c>
      <c r="N415" s="353"/>
      <c r="O415" s="431"/>
      <c r="P415" s="119">
        <v>4000</v>
      </c>
      <c r="Q415" s="119"/>
      <c r="R415" s="119"/>
      <c r="S415" s="119"/>
      <c r="T415" s="119"/>
      <c r="U415" s="119"/>
      <c r="V415" s="119"/>
      <c r="W415" s="356"/>
      <c r="X415" s="290"/>
      <c r="Y415" s="119">
        <v>4000</v>
      </c>
      <c r="Z415" s="119"/>
      <c r="AA415" s="119"/>
      <c r="AB415" s="119"/>
      <c r="AC415" s="119"/>
      <c r="AD415" s="119"/>
      <c r="AE415" s="355"/>
      <c r="AF415" s="356"/>
    </row>
    <row r="416" spans="1:103" outlineLevel="1" x14ac:dyDescent="0.25">
      <c r="A416" s="352" t="s">
        <v>1105</v>
      </c>
      <c r="B416" s="475" t="s">
        <v>47</v>
      </c>
      <c r="C416" s="431">
        <v>50</v>
      </c>
      <c r="D416" s="119">
        <f>+J416</f>
        <v>300</v>
      </c>
      <c r="E416" s="110"/>
      <c r="F416" s="119">
        <f>+L416</f>
        <v>0</v>
      </c>
      <c r="G416" s="294"/>
      <c r="H416" s="490">
        <f>+F416/C416</f>
        <v>0</v>
      </c>
      <c r="I416" s="290"/>
      <c r="J416" s="119">
        <f t="shared" si="164"/>
        <v>300</v>
      </c>
      <c r="K416" s="290"/>
      <c r="L416" s="290">
        <f t="shared" si="157"/>
        <v>0</v>
      </c>
      <c r="M416" s="354"/>
      <c r="N416" s="353"/>
      <c r="O416" s="431"/>
      <c r="P416" s="119">
        <v>300</v>
      </c>
      <c r="Q416" s="119"/>
      <c r="R416" s="119"/>
      <c r="S416" s="119"/>
      <c r="T416" s="119"/>
      <c r="U416" s="119"/>
      <c r="V416" s="119"/>
      <c r="W416" s="356"/>
      <c r="X416" s="290"/>
      <c r="Y416" s="119">
        <v>0</v>
      </c>
      <c r="Z416" s="119"/>
      <c r="AA416" s="119"/>
      <c r="AB416" s="119"/>
      <c r="AC416" s="119"/>
      <c r="AD416" s="119"/>
      <c r="AE416" s="355"/>
      <c r="AF416" s="356"/>
    </row>
    <row r="417" spans="1:103" s="351" customFormat="1" ht="15.75" x14ac:dyDescent="0.25">
      <c r="A417" s="345" t="s">
        <v>298</v>
      </c>
      <c r="B417" s="474" t="s">
        <v>247</v>
      </c>
      <c r="C417" s="430">
        <f>+C418+C419+C420+C421+C422+C423</f>
        <v>23970.410000000003</v>
      </c>
      <c r="D417" s="455">
        <f>+D418+D419+D420+D421+D422+D423</f>
        <v>31268</v>
      </c>
      <c r="E417" s="274">
        <f>+E418+E419+E420+E421+E422+E423</f>
        <v>21980.99</v>
      </c>
      <c r="F417" s="455">
        <f>+F418+F419+F420+F421+F422+F423</f>
        <v>32150</v>
      </c>
      <c r="G417" s="292">
        <f t="shared" ref="G417:G480" si="166">+D417/F417</f>
        <v>0.97256609642301706</v>
      </c>
      <c r="H417" s="489">
        <f>+F417/C417</f>
        <v>1.3412369667435808</v>
      </c>
      <c r="I417" s="349"/>
      <c r="J417" s="347">
        <f>SUM(J418:J423)</f>
        <v>31267.9</v>
      </c>
      <c r="K417" s="291"/>
      <c r="L417" s="291">
        <f t="shared" si="157"/>
        <v>32149.9</v>
      </c>
      <c r="M417" s="348">
        <f t="shared" ref="M417:M422" si="167">+J417/L417</f>
        <v>0.97256601109179186</v>
      </c>
      <c r="N417" s="392"/>
      <c r="O417" s="430">
        <f t="shared" ref="O417:AF417" si="168">SUM(O418:O423)</f>
        <v>0</v>
      </c>
      <c r="P417" s="455">
        <f t="shared" si="168"/>
        <v>0</v>
      </c>
      <c r="Q417" s="455">
        <f t="shared" si="168"/>
        <v>28128</v>
      </c>
      <c r="R417" s="455">
        <f t="shared" si="168"/>
        <v>3139.9</v>
      </c>
      <c r="S417" s="455">
        <f t="shared" si="168"/>
        <v>0</v>
      </c>
      <c r="T417" s="455">
        <f t="shared" si="168"/>
        <v>0</v>
      </c>
      <c r="U417" s="455">
        <f t="shared" si="168"/>
        <v>0</v>
      </c>
      <c r="V417" s="455">
        <f t="shared" si="168"/>
        <v>0</v>
      </c>
      <c r="W417" s="350">
        <f t="shared" si="168"/>
        <v>0</v>
      </c>
      <c r="X417" s="349">
        <f t="shared" si="168"/>
        <v>0</v>
      </c>
      <c r="Y417" s="455">
        <f t="shared" si="168"/>
        <v>0</v>
      </c>
      <c r="Z417" s="455">
        <f t="shared" si="168"/>
        <v>29010</v>
      </c>
      <c r="AA417" s="455">
        <f t="shared" si="168"/>
        <v>3139.9</v>
      </c>
      <c r="AB417" s="455">
        <f t="shared" si="168"/>
        <v>0</v>
      </c>
      <c r="AC417" s="455">
        <f t="shared" si="168"/>
        <v>0</v>
      </c>
      <c r="AD417" s="455">
        <f t="shared" si="168"/>
        <v>0</v>
      </c>
      <c r="AE417" s="455">
        <f t="shared" si="168"/>
        <v>0</v>
      </c>
      <c r="AF417" s="350">
        <f t="shared" si="168"/>
        <v>0</v>
      </c>
      <c r="AG417" s="293"/>
      <c r="AH417" s="293"/>
      <c r="AI417" s="293"/>
      <c r="AJ417" s="293"/>
      <c r="AK417" s="293"/>
      <c r="AL417" s="293"/>
      <c r="AM417" s="293"/>
      <c r="AN417" s="293"/>
      <c r="AO417" s="293"/>
      <c r="AP417" s="293"/>
      <c r="AQ417" s="293"/>
      <c r="AR417" s="293"/>
      <c r="AS417" s="293"/>
      <c r="AT417" s="293"/>
      <c r="AU417" s="293"/>
      <c r="AV417" s="293"/>
      <c r="AW417" s="293"/>
      <c r="AX417" s="293"/>
      <c r="AY417" s="293"/>
      <c r="AZ417" s="293"/>
      <c r="BA417" s="293"/>
      <c r="BB417" s="293"/>
      <c r="BC417" s="293"/>
      <c r="BD417" s="293"/>
      <c r="BE417" s="293"/>
      <c r="BF417" s="293"/>
      <c r="BG417" s="293"/>
      <c r="BH417" s="293"/>
      <c r="BI417" s="293"/>
      <c r="BJ417" s="293"/>
      <c r="BK417" s="293"/>
      <c r="BL417" s="293"/>
      <c r="BM417" s="293"/>
      <c r="BN417" s="293"/>
      <c r="BO417" s="293"/>
      <c r="BP417" s="293"/>
      <c r="BQ417" s="293"/>
      <c r="BR417" s="293"/>
      <c r="BS417" s="293"/>
      <c r="BT417" s="293"/>
      <c r="BU417" s="293"/>
      <c r="BV417" s="293"/>
      <c r="BW417" s="293"/>
      <c r="BX417" s="293"/>
      <c r="BY417" s="293"/>
      <c r="BZ417" s="293"/>
      <c r="CA417" s="293"/>
      <c r="CB417" s="293"/>
      <c r="CC417" s="293"/>
      <c r="CD417" s="293"/>
      <c r="CE417" s="293"/>
      <c r="CF417" s="293"/>
      <c r="CG417" s="293"/>
      <c r="CH417" s="293"/>
      <c r="CI417" s="293"/>
      <c r="CJ417" s="293"/>
      <c r="CK417" s="293"/>
      <c r="CL417" s="293"/>
      <c r="CM417" s="293"/>
      <c r="CN417" s="293"/>
      <c r="CO417" s="293"/>
      <c r="CP417" s="293"/>
      <c r="CQ417" s="293"/>
      <c r="CR417" s="293"/>
      <c r="CS417" s="293"/>
      <c r="CT417" s="293"/>
      <c r="CU417" s="293"/>
      <c r="CV417" s="293"/>
      <c r="CW417" s="293"/>
      <c r="CX417" s="293"/>
      <c r="CY417" s="293"/>
    </row>
    <row r="418" spans="1:103" outlineLevel="1" x14ac:dyDescent="0.25">
      <c r="A418" s="352" t="s">
        <v>299</v>
      </c>
      <c r="B418" s="475" t="s">
        <v>934</v>
      </c>
      <c r="C418" s="431">
        <v>10361.410000000002</v>
      </c>
      <c r="D418" s="119">
        <v>19000</v>
      </c>
      <c r="E418" s="110">
        <v>13999.98</v>
      </c>
      <c r="F418" s="119">
        <v>19000</v>
      </c>
      <c r="G418" s="294">
        <f t="shared" si="166"/>
        <v>1</v>
      </c>
      <c r="H418" s="490">
        <f>+F418/C418</f>
        <v>1.8337272629883381</v>
      </c>
      <c r="I418" s="290"/>
      <c r="J418" s="119">
        <f t="shared" si="164"/>
        <v>18999.900000000001</v>
      </c>
      <c r="K418" s="290"/>
      <c r="L418" s="290">
        <f t="shared" si="157"/>
        <v>18999.900000000001</v>
      </c>
      <c r="M418" s="354">
        <f t="shared" si="167"/>
        <v>1</v>
      </c>
      <c r="N418" s="353"/>
      <c r="O418" s="431"/>
      <c r="P418" s="119"/>
      <c r="Q418" s="119">
        <v>15860</v>
      </c>
      <c r="R418" s="119">
        <f>+AA418</f>
        <v>3139.9</v>
      </c>
      <c r="S418" s="119"/>
      <c r="T418" s="119"/>
      <c r="U418" s="119"/>
      <c r="V418" s="119"/>
      <c r="W418" s="356"/>
      <c r="X418" s="290"/>
      <c r="Y418" s="119"/>
      <c r="Z418" s="119">
        <f>19000-3140</f>
        <v>15860</v>
      </c>
      <c r="AA418" s="119">
        <f>3694*0.85</f>
        <v>3139.9</v>
      </c>
      <c r="AB418" s="119"/>
      <c r="AC418" s="119"/>
      <c r="AD418" s="119"/>
      <c r="AE418" s="355"/>
      <c r="AF418" s="356"/>
    </row>
    <row r="419" spans="1:103" outlineLevel="1" x14ac:dyDescent="0.25">
      <c r="A419" s="352" t="s">
        <v>300</v>
      </c>
      <c r="B419" s="475" t="s">
        <v>935</v>
      </c>
      <c r="C419" s="431">
        <v>6480</v>
      </c>
      <c r="D419" s="119">
        <v>4400</v>
      </c>
      <c r="E419" s="110">
        <v>4920</v>
      </c>
      <c r="F419" s="119">
        <f>+L419</f>
        <v>4400</v>
      </c>
      <c r="G419" s="294">
        <f t="shared" si="166"/>
        <v>1</v>
      </c>
      <c r="H419" s="490">
        <f>+F419/C419</f>
        <v>0.67901234567901236</v>
      </c>
      <c r="I419" s="290"/>
      <c r="J419" s="119">
        <f t="shared" si="164"/>
        <v>4400</v>
      </c>
      <c r="K419" s="290"/>
      <c r="L419" s="290">
        <f t="shared" si="157"/>
        <v>4400</v>
      </c>
      <c r="M419" s="354">
        <f t="shared" si="167"/>
        <v>1</v>
      </c>
      <c r="N419" s="353"/>
      <c r="O419" s="431"/>
      <c r="P419" s="119"/>
      <c r="Q419" s="119">
        <v>4400</v>
      </c>
      <c r="R419" s="119"/>
      <c r="S419" s="119"/>
      <c r="T419" s="119"/>
      <c r="U419" s="119"/>
      <c r="V419" s="119"/>
      <c r="W419" s="356"/>
      <c r="X419" s="290"/>
      <c r="Y419" s="119"/>
      <c r="Z419" s="119">
        <v>4400</v>
      </c>
      <c r="AA419" s="119"/>
      <c r="AB419" s="119"/>
      <c r="AC419" s="119"/>
      <c r="AD419" s="119"/>
      <c r="AE419" s="355"/>
      <c r="AF419" s="356"/>
    </row>
    <row r="420" spans="1:103" outlineLevel="1" x14ac:dyDescent="0.25">
      <c r="A420" s="352" t="s">
        <v>306</v>
      </c>
      <c r="B420" s="475" t="s">
        <v>936</v>
      </c>
      <c r="C420" s="431">
        <v>0</v>
      </c>
      <c r="D420" s="119">
        <f>+J420</f>
        <v>3500</v>
      </c>
      <c r="E420" s="110">
        <v>2948.2</v>
      </c>
      <c r="F420" s="119">
        <v>5000</v>
      </c>
      <c r="G420" s="294">
        <f t="shared" si="166"/>
        <v>0.7</v>
      </c>
      <c r="H420" s="490"/>
      <c r="I420" s="290"/>
      <c r="J420" s="119">
        <f t="shared" si="164"/>
        <v>3500</v>
      </c>
      <c r="K420" s="290"/>
      <c r="L420" s="290">
        <f t="shared" si="157"/>
        <v>5000</v>
      </c>
      <c r="M420" s="354">
        <f t="shared" si="167"/>
        <v>0.7</v>
      </c>
      <c r="N420" s="353"/>
      <c r="O420" s="431"/>
      <c r="P420" s="119"/>
      <c r="Q420" s="119">
        <v>3500</v>
      </c>
      <c r="R420" s="119"/>
      <c r="S420" s="119"/>
      <c r="T420" s="119"/>
      <c r="U420" s="119"/>
      <c r="V420" s="119"/>
      <c r="W420" s="356"/>
      <c r="X420" s="290"/>
      <c r="Y420" s="119"/>
      <c r="Z420" s="119">
        <v>5000</v>
      </c>
      <c r="AA420" s="119"/>
      <c r="AB420" s="119"/>
      <c r="AC420" s="119"/>
      <c r="AD420" s="119"/>
      <c r="AE420" s="355"/>
      <c r="AF420" s="356"/>
    </row>
    <row r="421" spans="1:103" outlineLevel="1" x14ac:dyDescent="0.25">
      <c r="A421" s="352" t="s">
        <v>966</v>
      </c>
      <c r="B421" s="475" t="s">
        <v>268</v>
      </c>
      <c r="C421" s="431"/>
      <c r="D421" s="119">
        <v>750</v>
      </c>
      <c r="E421" s="110">
        <v>63.83</v>
      </c>
      <c r="F421" s="119">
        <v>250</v>
      </c>
      <c r="G421" s="294">
        <f t="shared" si="166"/>
        <v>3</v>
      </c>
      <c r="H421" s="490"/>
      <c r="I421" s="290"/>
      <c r="J421" s="119">
        <f t="shared" si="164"/>
        <v>750</v>
      </c>
      <c r="K421" s="290"/>
      <c r="L421" s="290">
        <f t="shared" si="157"/>
        <v>250</v>
      </c>
      <c r="M421" s="354">
        <f t="shared" si="167"/>
        <v>3</v>
      </c>
      <c r="N421" s="353"/>
      <c r="O421" s="431"/>
      <c r="P421" s="119"/>
      <c r="Q421" s="119">
        <v>750</v>
      </c>
      <c r="R421" s="119"/>
      <c r="S421" s="119"/>
      <c r="T421" s="119"/>
      <c r="U421" s="119"/>
      <c r="V421" s="119"/>
      <c r="W421" s="356"/>
      <c r="X421" s="290"/>
      <c r="Y421" s="119"/>
      <c r="Z421" s="119">
        <v>250</v>
      </c>
      <c r="AA421" s="119"/>
      <c r="AB421" s="119"/>
      <c r="AC421" s="119"/>
      <c r="AD421" s="119"/>
      <c r="AE421" s="355"/>
      <c r="AF421" s="356"/>
    </row>
    <row r="422" spans="1:103" outlineLevel="1" x14ac:dyDescent="0.25">
      <c r="A422" s="352" t="s">
        <v>967</v>
      </c>
      <c r="B422" s="475" t="s">
        <v>269</v>
      </c>
      <c r="C422" s="431">
        <v>7129</v>
      </c>
      <c r="D422" s="119">
        <v>3500</v>
      </c>
      <c r="E422" s="110">
        <v>0</v>
      </c>
      <c r="F422" s="119">
        <v>3500</v>
      </c>
      <c r="G422" s="294">
        <f t="shared" si="166"/>
        <v>1</v>
      </c>
      <c r="H422" s="490">
        <f>+F422/C422</f>
        <v>0.49095244774863234</v>
      </c>
      <c r="I422" s="290"/>
      <c r="J422" s="119">
        <f t="shared" si="164"/>
        <v>3500</v>
      </c>
      <c r="K422" s="290"/>
      <c r="L422" s="290">
        <f t="shared" si="157"/>
        <v>3500</v>
      </c>
      <c r="M422" s="354">
        <f t="shared" si="167"/>
        <v>1</v>
      </c>
      <c r="N422" s="353"/>
      <c r="O422" s="431"/>
      <c r="P422" s="119"/>
      <c r="Q422" s="119">
        <v>3500</v>
      </c>
      <c r="R422" s="119"/>
      <c r="S422" s="119"/>
      <c r="T422" s="119"/>
      <c r="U422" s="119"/>
      <c r="V422" s="119"/>
      <c r="W422" s="356"/>
      <c r="X422" s="290"/>
      <c r="Y422" s="119"/>
      <c r="Z422" s="119">
        <v>3500</v>
      </c>
      <c r="AA422" s="119"/>
      <c r="AB422" s="119"/>
      <c r="AC422" s="119"/>
      <c r="AD422" s="119"/>
      <c r="AE422" s="355"/>
      <c r="AF422" s="356"/>
    </row>
    <row r="423" spans="1:103" outlineLevel="1" x14ac:dyDescent="0.25">
      <c r="A423" s="352" t="s">
        <v>1106</v>
      </c>
      <c r="B423" s="475" t="s">
        <v>47</v>
      </c>
      <c r="C423" s="431"/>
      <c r="D423" s="119">
        <v>118</v>
      </c>
      <c r="E423" s="110">
        <v>48.98</v>
      </c>
      <c r="F423" s="119">
        <v>0</v>
      </c>
      <c r="G423" s="294"/>
      <c r="H423" s="490"/>
      <c r="I423" s="290"/>
      <c r="J423" s="119">
        <f t="shared" si="164"/>
        <v>118</v>
      </c>
      <c r="K423" s="290"/>
      <c r="L423" s="290">
        <f t="shared" si="157"/>
        <v>0</v>
      </c>
      <c r="M423" s="354"/>
      <c r="N423" s="353"/>
      <c r="O423" s="431"/>
      <c r="P423" s="119"/>
      <c r="Q423" s="119">
        <v>118</v>
      </c>
      <c r="R423" s="119"/>
      <c r="S423" s="119"/>
      <c r="T423" s="119"/>
      <c r="U423" s="119"/>
      <c r="V423" s="119"/>
      <c r="W423" s="356"/>
      <c r="X423" s="290"/>
      <c r="Y423" s="119"/>
      <c r="Z423" s="119">
        <v>0</v>
      </c>
      <c r="AA423" s="119"/>
      <c r="AB423" s="119"/>
      <c r="AC423" s="119"/>
      <c r="AD423" s="119"/>
      <c r="AE423" s="355"/>
      <c r="AF423" s="356"/>
    </row>
    <row r="424" spans="1:103" s="351" customFormat="1" ht="15.75" x14ac:dyDescent="0.25">
      <c r="A424" s="345" t="s">
        <v>301</v>
      </c>
      <c r="B424" s="474" t="s">
        <v>249</v>
      </c>
      <c r="C424" s="430">
        <f>+C425+C426+C427+C428</f>
        <v>51777.33</v>
      </c>
      <c r="D424" s="455">
        <f>+D425+D426+D427+D428</f>
        <v>47750</v>
      </c>
      <c r="E424" s="274">
        <f>+E425+E426+E427+E428</f>
        <v>39434.03</v>
      </c>
      <c r="F424" s="455">
        <f>+F425+F426+F427+F428</f>
        <v>50000</v>
      </c>
      <c r="G424" s="292">
        <f t="shared" si="166"/>
        <v>0.95499999999999996</v>
      </c>
      <c r="H424" s="489">
        <f>+F424/C424</f>
        <v>0.96567358726299712</v>
      </c>
      <c r="I424" s="349"/>
      <c r="J424" s="347">
        <f>SUM(J425:J428)</f>
        <v>47750</v>
      </c>
      <c r="K424" s="291"/>
      <c r="L424" s="291">
        <f t="shared" si="157"/>
        <v>57375.9</v>
      </c>
      <c r="M424" s="348">
        <f t="shared" ref="M424:M439" si="169">+J424/L424</f>
        <v>0.83223095411139514</v>
      </c>
      <c r="N424" s="392"/>
      <c r="O424" s="430">
        <f t="shared" ref="O424:AF424" si="170">SUM(O425:O428)</f>
        <v>0</v>
      </c>
      <c r="P424" s="455">
        <f t="shared" si="170"/>
        <v>0</v>
      </c>
      <c r="Q424" s="455">
        <f t="shared" si="170"/>
        <v>14030</v>
      </c>
      <c r="R424" s="455">
        <f t="shared" si="170"/>
        <v>33720</v>
      </c>
      <c r="S424" s="455">
        <f t="shared" si="170"/>
        <v>0</v>
      </c>
      <c r="T424" s="455">
        <f t="shared" si="170"/>
        <v>0</v>
      </c>
      <c r="U424" s="455">
        <f t="shared" si="170"/>
        <v>0</v>
      </c>
      <c r="V424" s="455">
        <f t="shared" si="170"/>
        <v>0</v>
      </c>
      <c r="W424" s="350">
        <f t="shared" si="170"/>
        <v>0</v>
      </c>
      <c r="X424" s="349">
        <f t="shared" si="170"/>
        <v>0</v>
      </c>
      <c r="Y424" s="455">
        <f t="shared" si="170"/>
        <v>0</v>
      </c>
      <c r="Z424" s="455">
        <f t="shared" si="170"/>
        <v>23681</v>
      </c>
      <c r="AA424" s="455">
        <f t="shared" si="170"/>
        <v>33694.9</v>
      </c>
      <c r="AB424" s="455">
        <f t="shared" si="170"/>
        <v>0</v>
      </c>
      <c r="AC424" s="455">
        <f t="shared" si="170"/>
        <v>0</v>
      </c>
      <c r="AD424" s="455">
        <f t="shared" si="170"/>
        <v>0</v>
      </c>
      <c r="AE424" s="455">
        <f t="shared" si="170"/>
        <v>0</v>
      </c>
      <c r="AF424" s="350">
        <f t="shared" si="170"/>
        <v>0</v>
      </c>
      <c r="AG424" s="293"/>
      <c r="AH424" s="293"/>
      <c r="AI424" s="293"/>
      <c r="AJ424" s="293"/>
      <c r="AK424" s="293"/>
      <c r="AL424" s="293"/>
      <c r="AM424" s="293"/>
      <c r="AN424" s="293"/>
      <c r="AO424" s="293"/>
      <c r="AP424" s="293"/>
      <c r="AQ424" s="293"/>
      <c r="AR424" s="293"/>
      <c r="AS424" s="293"/>
      <c r="AT424" s="293"/>
      <c r="AU424" s="293"/>
      <c r="AV424" s="293"/>
      <c r="AW424" s="293"/>
      <c r="AX424" s="293"/>
      <c r="AY424" s="293"/>
      <c r="AZ424" s="293"/>
      <c r="BA424" s="293"/>
      <c r="BB424" s="293"/>
      <c r="BC424" s="293"/>
      <c r="BD424" s="293"/>
      <c r="BE424" s="293"/>
      <c r="BF424" s="293"/>
      <c r="BG424" s="293"/>
      <c r="BH424" s="293"/>
      <c r="BI424" s="293"/>
      <c r="BJ424" s="293"/>
      <c r="BK424" s="293"/>
      <c r="BL424" s="293"/>
      <c r="BM424" s="293"/>
      <c r="BN424" s="293"/>
      <c r="BO424" s="293"/>
      <c r="BP424" s="293"/>
      <c r="BQ424" s="293"/>
      <c r="BR424" s="293"/>
      <c r="BS424" s="293"/>
      <c r="BT424" s="293"/>
      <c r="BU424" s="293"/>
      <c r="BV424" s="293"/>
      <c r="BW424" s="293"/>
      <c r="BX424" s="293"/>
      <c r="BY424" s="293"/>
      <c r="BZ424" s="293"/>
      <c r="CA424" s="293"/>
      <c r="CB424" s="293"/>
      <c r="CC424" s="293"/>
      <c r="CD424" s="293"/>
      <c r="CE424" s="293"/>
      <c r="CF424" s="293"/>
      <c r="CG424" s="293"/>
      <c r="CH424" s="293"/>
      <c r="CI424" s="293"/>
      <c r="CJ424" s="293"/>
      <c r="CK424" s="293"/>
      <c r="CL424" s="293"/>
      <c r="CM424" s="293"/>
      <c r="CN424" s="293"/>
      <c r="CO424" s="293"/>
      <c r="CP424" s="293"/>
      <c r="CQ424" s="293"/>
      <c r="CR424" s="293"/>
      <c r="CS424" s="293"/>
      <c r="CT424" s="293"/>
      <c r="CU424" s="293"/>
      <c r="CV424" s="293"/>
      <c r="CW424" s="293"/>
      <c r="CX424" s="293"/>
      <c r="CY424" s="293"/>
    </row>
    <row r="425" spans="1:103" outlineLevel="1" x14ac:dyDescent="0.25">
      <c r="A425" s="352" t="s">
        <v>302</v>
      </c>
      <c r="B425" s="475" t="s">
        <v>999</v>
      </c>
      <c r="C425" s="431">
        <f>46914.16+220.35</f>
        <v>47134.51</v>
      </c>
      <c r="D425" s="119">
        <v>40000</v>
      </c>
      <c r="E425" s="110">
        <v>30812.68</v>
      </c>
      <c r="F425" s="119">
        <v>41250</v>
      </c>
      <c r="G425" s="294">
        <f t="shared" si="166"/>
        <v>0.96969696969696972</v>
      </c>
      <c r="H425" s="490">
        <f>+F425/C425</f>
        <v>0.87515495546681188</v>
      </c>
      <c r="I425" s="290"/>
      <c r="J425" s="119">
        <f t="shared" si="164"/>
        <v>40000</v>
      </c>
      <c r="K425" s="290"/>
      <c r="L425" s="290">
        <f t="shared" si="157"/>
        <v>48625.9</v>
      </c>
      <c r="M425" s="354">
        <f t="shared" si="169"/>
        <v>0.82260688234048107</v>
      </c>
      <c r="N425" s="353"/>
      <c r="O425" s="431"/>
      <c r="P425" s="119"/>
      <c r="Q425" s="119">
        <v>6280</v>
      </c>
      <c r="R425" s="119">
        <v>33720</v>
      </c>
      <c r="S425" s="119"/>
      <c r="T425" s="119"/>
      <c r="U425" s="119"/>
      <c r="V425" s="119"/>
      <c r="W425" s="356"/>
      <c r="X425" s="290"/>
      <c r="Y425" s="119"/>
      <c r="Z425" s="119">
        <f>41250-33995+7676</f>
        <v>14931</v>
      </c>
      <c r="AA425" s="119">
        <f>39994*0.85-300</f>
        <v>33694.9</v>
      </c>
      <c r="AB425" s="119"/>
      <c r="AC425" s="119"/>
      <c r="AD425" s="119"/>
      <c r="AE425" s="355"/>
      <c r="AF425" s="356"/>
    </row>
    <row r="426" spans="1:103" outlineLevel="1" x14ac:dyDescent="0.25">
      <c r="A426" s="374" t="s">
        <v>303</v>
      </c>
      <c r="B426" s="475" t="s">
        <v>936</v>
      </c>
      <c r="C426" s="431">
        <v>4642.82</v>
      </c>
      <c r="D426" s="119">
        <v>3500</v>
      </c>
      <c r="E426" s="110">
        <v>5515.06</v>
      </c>
      <c r="F426" s="119">
        <f>+L426</f>
        <v>5000</v>
      </c>
      <c r="G426" s="294">
        <f t="shared" si="166"/>
        <v>0.7</v>
      </c>
      <c r="H426" s="490">
        <f>+F426/C426</f>
        <v>1.0769316923766159</v>
      </c>
      <c r="I426" s="290"/>
      <c r="J426" s="119">
        <f t="shared" si="164"/>
        <v>3500</v>
      </c>
      <c r="K426" s="290"/>
      <c r="L426" s="290">
        <f t="shared" si="157"/>
        <v>5000</v>
      </c>
      <c r="M426" s="354">
        <f t="shared" si="169"/>
        <v>0.7</v>
      </c>
      <c r="N426" s="353"/>
      <c r="O426" s="431"/>
      <c r="P426" s="119"/>
      <c r="Q426" s="119">
        <v>3500</v>
      </c>
      <c r="R426" s="119"/>
      <c r="S426" s="119"/>
      <c r="T426" s="119"/>
      <c r="U426" s="119"/>
      <c r="V426" s="119"/>
      <c r="W426" s="356"/>
      <c r="X426" s="290"/>
      <c r="Y426" s="119"/>
      <c r="Z426" s="119">
        <v>5000</v>
      </c>
      <c r="AA426" s="119"/>
      <c r="AB426" s="119"/>
      <c r="AC426" s="119"/>
      <c r="AD426" s="119"/>
      <c r="AE426" s="355"/>
      <c r="AF426" s="356"/>
    </row>
    <row r="427" spans="1:103" outlineLevel="1" x14ac:dyDescent="0.25">
      <c r="A427" s="352" t="s">
        <v>304</v>
      </c>
      <c r="B427" s="475" t="s">
        <v>268</v>
      </c>
      <c r="C427" s="431"/>
      <c r="D427" s="119">
        <v>750</v>
      </c>
      <c r="E427" s="110"/>
      <c r="F427" s="119">
        <v>250</v>
      </c>
      <c r="G427" s="294">
        <f t="shared" si="166"/>
        <v>3</v>
      </c>
      <c r="H427" s="490"/>
      <c r="I427" s="290"/>
      <c r="J427" s="119">
        <f t="shared" si="164"/>
        <v>750</v>
      </c>
      <c r="K427" s="290"/>
      <c r="L427" s="290">
        <f t="shared" si="157"/>
        <v>250</v>
      </c>
      <c r="M427" s="354">
        <f t="shared" si="169"/>
        <v>3</v>
      </c>
      <c r="N427" s="353"/>
      <c r="O427" s="431"/>
      <c r="P427" s="119"/>
      <c r="Q427" s="119">
        <v>750</v>
      </c>
      <c r="R427" s="119"/>
      <c r="S427" s="119"/>
      <c r="T427" s="119"/>
      <c r="U427" s="119"/>
      <c r="V427" s="119"/>
      <c r="W427" s="356"/>
      <c r="X427" s="290"/>
      <c r="Y427" s="119"/>
      <c r="Z427" s="119">
        <v>250</v>
      </c>
      <c r="AA427" s="119"/>
      <c r="AB427" s="119"/>
      <c r="AC427" s="119"/>
      <c r="AD427" s="119"/>
      <c r="AE427" s="355"/>
      <c r="AF427" s="356"/>
    </row>
    <row r="428" spans="1:103" outlineLevel="1" x14ac:dyDescent="0.25">
      <c r="A428" s="352" t="s">
        <v>305</v>
      </c>
      <c r="B428" s="475" t="s">
        <v>269</v>
      </c>
      <c r="C428" s="431"/>
      <c r="D428" s="119">
        <v>3500</v>
      </c>
      <c r="E428" s="110">
        <v>3106.29</v>
      </c>
      <c r="F428" s="119">
        <v>3500</v>
      </c>
      <c r="G428" s="294">
        <f t="shared" si="166"/>
        <v>1</v>
      </c>
      <c r="H428" s="490"/>
      <c r="I428" s="290"/>
      <c r="J428" s="119">
        <f t="shared" si="164"/>
        <v>3500</v>
      </c>
      <c r="K428" s="290"/>
      <c r="L428" s="290">
        <f t="shared" si="157"/>
        <v>3500</v>
      </c>
      <c r="M428" s="354">
        <f t="shared" si="169"/>
        <v>1</v>
      </c>
      <c r="N428" s="353"/>
      <c r="O428" s="431"/>
      <c r="P428" s="119"/>
      <c r="Q428" s="119">
        <v>3500</v>
      </c>
      <c r="R428" s="119"/>
      <c r="S428" s="119"/>
      <c r="T428" s="119"/>
      <c r="U428" s="119"/>
      <c r="V428" s="119"/>
      <c r="W428" s="356"/>
      <c r="X428" s="290"/>
      <c r="Y428" s="119">
        <v>0</v>
      </c>
      <c r="Z428" s="119">
        <v>3500</v>
      </c>
      <c r="AA428" s="119"/>
      <c r="AB428" s="119"/>
      <c r="AC428" s="119"/>
      <c r="AD428" s="119"/>
      <c r="AE428" s="355"/>
      <c r="AF428" s="356"/>
    </row>
    <row r="429" spans="1:103" s="351" customFormat="1" ht="15.75" x14ac:dyDescent="0.25">
      <c r="A429" s="345" t="s">
        <v>618</v>
      </c>
      <c r="B429" s="474" t="s">
        <v>250</v>
      </c>
      <c r="C429" s="430">
        <f>+C430+C431+C432+C433+C434+C435+C436</f>
        <v>4334.3399999999992</v>
      </c>
      <c r="D429" s="455">
        <f>+D430+D431+D432+D433+D434+D435+D436</f>
        <v>7378</v>
      </c>
      <c r="E429" s="274">
        <f>+E430+E431+E432+E433+E434+E435+E436</f>
        <v>11161.25</v>
      </c>
      <c r="F429" s="455">
        <f>+F430+F431+F432+F433+F434+F435+F436</f>
        <v>10150</v>
      </c>
      <c r="G429" s="292">
        <f t="shared" si="166"/>
        <v>0.72689655172413792</v>
      </c>
      <c r="H429" s="489">
        <f>+F429/C429</f>
        <v>2.3417636825906603</v>
      </c>
      <c r="I429" s="349"/>
      <c r="J429" s="347">
        <f>SUM(J430:J436)</f>
        <v>7378</v>
      </c>
      <c r="K429" s="291"/>
      <c r="L429" s="291">
        <f t="shared" si="157"/>
        <v>6328</v>
      </c>
      <c r="M429" s="348">
        <f t="shared" si="169"/>
        <v>1.165929203539823</v>
      </c>
      <c r="N429" s="392"/>
      <c r="O429" s="430">
        <f t="shared" ref="O429:AF429" si="171">SUM(O430:O436)</f>
        <v>1800</v>
      </c>
      <c r="P429" s="455">
        <f t="shared" si="171"/>
        <v>4628</v>
      </c>
      <c r="Q429" s="455">
        <f t="shared" si="171"/>
        <v>475</v>
      </c>
      <c r="R429" s="455">
        <f t="shared" si="171"/>
        <v>275</v>
      </c>
      <c r="S429" s="455">
        <f t="shared" si="171"/>
        <v>0</v>
      </c>
      <c r="T429" s="455">
        <f t="shared" si="171"/>
        <v>0</v>
      </c>
      <c r="U429" s="455">
        <f t="shared" si="171"/>
        <v>200</v>
      </c>
      <c r="V429" s="455">
        <f t="shared" si="171"/>
        <v>0</v>
      </c>
      <c r="W429" s="350">
        <f t="shared" si="171"/>
        <v>0</v>
      </c>
      <c r="X429" s="349">
        <f t="shared" si="171"/>
        <v>1800</v>
      </c>
      <c r="Y429" s="455">
        <f t="shared" si="171"/>
        <v>3628</v>
      </c>
      <c r="Z429" s="455">
        <f t="shared" si="171"/>
        <v>600</v>
      </c>
      <c r="AA429" s="455">
        <f t="shared" si="171"/>
        <v>300</v>
      </c>
      <c r="AB429" s="455">
        <f t="shared" si="171"/>
        <v>0</v>
      </c>
      <c r="AC429" s="455">
        <f t="shared" si="171"/>
        <v>0</v>
      </c>
      <c r="AD429" s="455">
        <f t="shared" si="171"/>
        <v>0</v>
      </c>
      <c r="AE429" s="455">
        <f t="shared" si="171"/>
        <v>0</v>
      </c>
      <c r="AF429" s="350">
        <f t="shared" si="171"/>
        <v>0</v>
      </c>
      <c r="AG429" s="293"/>
      <c r="AH429" s="293"/>
      <c r="AI429" s="293"/>
      <c r="AJ429" s="293"/>
      <c r="AK429" s="293"/>
      <c r="AL429" s="293"/>
      <c r="AM429" s="293"/>
      <c r="AN429" s="293"/>
      <c r="AO429" s="293"/>
      <c r="AP429" s="293"/>
      <c r="AQ429" s="293"/>
      <c r="AR429" s="293"/>
      <c r="AS429" s="293"/>
      <c r="AT429" s="293"/>
      <c r="AU429" s="293"/>
      <c r="AV429" s="293"/>
      <c r="AW429" s="293"/>
      <c r="AX429" s="293"/>
      <c r="AY429" s="293"/>
      <c r="AZ429" s="293"/>
      <c r="BA429" s="293"/>
      <c r="BB429" s="293"/>
      <c r="BC429" s="293"/>
      <c r="BD429" s="293"/>
      <c r="BE429" s="293"/>
      <c r="BF429" s="293"/>
      <c r="BG429" s="293"/>
      <c r="BH429" s="293"/>
      <c r="BI429" s="293"/>
      <c r="BJ429" s="293"/>
      <c r="BK429" s="293"/>
      <c r="BL429" s="293"/>
      <c r="BM429" s="293"/>
      <c r="BN429" s="293"/>
      <c r="BO429" s="293"/>
      <c r="BP429" s="293"/>
      <c r="BQ429" s="293"/>
      <c r="BR429" s="293"/>
      <c r="BS429" s="293"/>
      <c r="BT429" s="293"/>
      <c r="BU429" s="293"/>
      <c r="BV429" s="293"/>
      <c r="BW429" s="293"/>
      <c r="BX429" s="293"/>
      <c r="BY429" s="293"/>
      <c r="BZ429" s="293"/>
      <c r="CA429" s="293"/>
      <c r="CB429" s="293"/>
      <c r="CC429" s="293"/>
      <c r="CD429" s="293"/>
      <c r="CE429" s="293"/>
      <c r="CF429" s="293"/>
      <c r="CG429" s="293"/>
      <c r="CH429" s="293"/>
      <c r="CI429" s="293"/>
      <c r="CJ429" s="293"/>
      <c r="CK429" s="293"/>
      <c r="CL429" s="293"/>
      <c r="CM429" s="293"/>
      <c r="CN429" s="293"/>
      <c r="CO429" s="293"/>
      <c r="CP429" s="293"/>
      <c r="CQ429" s="293"/>
      <c r="CR429" s="293"/>
      <c r="CS429" s="293"/>
      <c r="CT429" s="293"/>
      <c r="CU429" s="293"/>
      <c r="CV429" s="293"/>
      <c r="CW429" s="293"/>
      <c r="CX429" s="293"/>
      <c r="CY429" s="293"/>
    </row>
    <row r="430" spans="1:103" outlineLevel="1" x14ac:dyDescent="0.25">
      <c r="A430" s="352" t="s">
        <v>978</v>
      </c>
      <c r="B430" s="475" t="s">
        <v>998</v>
      </c>
      <c r="C430" s="431">
        <v>872.79</v>
      </c>
      <c r="D430" s="119">
        <v>200</v>
      </c>
      <c r="E430" s="110">
        <v>150</v>
      </c>
      <c r="F430" s="119">
        <v>600</v>
      </c>
      <c r="G430" s="294">
        <f t="shared" si="166"/>
        <v>0.33333333333333331</v>
      </c>
      <c r="H430" s="490">
        <f>+F430/C430</f>
        <v>0.68745058948888049</v>
      </c>
      <c r="I430" s="290"/>
      <c r="J430" s="119">
        <f t="shared" si="164"/>
        <v>200</v>
      </c>
      <c r="K430" s="290"/>
      <c r="L430" s="290">
        <f t="shared" si="157"/>
        <v>600</v>
      </c>
      <c r="M430" s="354">
        <f t="shared" si="169"/>
        <v>0.33333333333333331</v>
      </c>
      <c r="N430" s="353"/>
      <c r="O430" s="431"/>
      <c r="P430" s="119"/>
      <c r="Q430" s="119">
        <v>200</v>
      </c>
      <c r="R430" s="119"/>
      <c r="S430" s="119"/>
      <c r="T430" s="119"/>
      <c r="U430" s="119"/>
      <c r="V430" s="119"/>
      <c r="W430" s="356"/>
      <c r="X430" s="290"/>
      <c r="Y430" s="119"/>
      <c r="Z430" s="119">
        <v>600</v>
      </c>
      <c r="AA430" s="119"/>
      <c r="AB430" s="119"/>
      <c r="AC430" s="119"/>
      <c r="AD430" s="119"/>
      <c r="AE430" s="355"/>
      <c r="AF430" s="356"/>
    </row>
    <row r="431" spans="1:103" outlineLevel="1" x14ac:dyDescent="0.25">
      <c r="A431" s="352" t="s">
        <v>979</v>
      </c>
      <c r="B431" s="475" t="s">
        <v>270</v>
      </c>
      <c r="C431" s="431">
        <v>366</v>
      </c>
      <c r="D431" s="119">
        <v>300</v>
      </c>
      <c r="E431" s="110">
        <v>298.89999999999998</v>
      </c>
      <c r="F431" s="119">
        <f>+L431</f>
        <v>300</v>
      </c>
      <c r="G431" s="294">
        <f t="shared" si="166"/>
        <v>1</v>
      </c>
      <c r="H431" s="490">
        <f>+F431/C431</f>
        <v>0.81967213114754101</v>
      </c>
      <c r="I431" s="290"/>
      <c r="J431" s="119">
        <f t="shared" si="164"/>
        <v>300</v>
      </c>
      <c r="K431" s="290"/>
      <c r="L431" s="290">
        <f t="shared" si="157"/>
        <v>300</v>
      </c>
      <c r="M431" s="354">
        <f t="shared" si="169"/>
        <v>1</v>
      </c>
      <c r="N431" s="353"/>
      <c r="O431" s="431">
        <f>+X431</f>
        <v>300</v>
      </c>
      <c r="P431" s="119"/>
      <c r="Q431" s="119"/>
      <c r="R431" s="119"/>
      <c r="S431" s="119"/>
      <c r="T431" s="119"/>
      <c r="U431" s="119"/>
      <c r="V431" s="119"/>
      <c r="W431" s="356"/>
      <c r="X431" s="290">
        <v>300</v>
      </c>
      <c r="Y431" s="119"/>
      <c r="Z431" s="119"/>
      <c r="AA431" s="119"/>
      <c r="AB431" s="119"/>
      <c r="AC431" s="119"/>
      <c r="AD431" s="119"/>
      <c r="AE431" s="355"/>
      <c r="AF431" s="356"/>
    </row>
    <row r="432" spans="1:103" outlineLevel="1" x14ac:dyDescent="0.25">
      <c r="A432" s="352" t="s">
        <v>980</v>
      </c>
      <c r="B432" s="475" t="s">
        <v>266</v>
      </c>
      <c r="C432" s="431">
        <v>1621.78</v>
      </c>
      <c r="D432" s="119">
        <v>1050</v>
      </c>
      <c r="E432" s="110">
        <v>889.11</v>
      </c>
      <c r="F432" s="119">
        <v>1100</v>
      </c>
      <c r="G432" s="294">
        <f t="shared" si="166"/>
        <v>0.95454545454545459</v>
      </c>
      <c r="H432" s="490">
        <f>+F432/C432</f>
        <v>0.67826708924761681</v>
      </c>
      <c r="I432" s="290"/>
      <c r="J432" s="119">
        <f t="shared" si="164"/>
        <v>1050</v>
      </c>
      <c r="K432" s="290"/>
      <c r="L432" s="290">
        <f t="shared" si="157"/>
        <v>500</v>
      </c>
      <c r="M432" s="354">
        <f t="shared" si="169"/>
        <v>2.1</v>
      </c>
      <c r="N432" s="353"/>
      <c r="O432" s="431">
        <f>+X432</f>
        <v>500</v>
      </c>
      <c r="P432" s="119"/>
      <c r="Q432" s="119">
        <v>275</v>
      </c>
      <c r="R432" s="119">
        <v>275</v>
      </c>
      <c r="S432" s="119"/>
      <c r="T432" s="119"/>
      <c r="U432" s="119"/>
      <c r="V432" s="119"/>
      <c r="W432" s="356"/>
      <c r="X432" s="290">
        <v>500</v>
      </c>
      <c r="Y432" s="119"/>
      <c r="Z432" s="119"/>
      <c r="AA432" s="119"/>
      <c r="AB432" s="119"/>
      <c r="AC432" s="119">
        <v>0</v>
      </c>
      <c r="AD432" s="119"/>
      <c r="AE432" s="355"/>
      <c r="AF432" s="356"/>
    </row>
    <row r="433" spans="1:103" outlineLevel="1" x14ac:dyDescent="0.25">
      <c r="A433" s="352" t="s">
        <v>649</v>
      </c>
      <c r="B433" s="475" t="s">
        <v>271</v>
      </c>
      <c r="C433" s="431">
        <v>632.04</v>
      </c>
      <c r="D433" s="119">
        <v>650</v>
      </c>
      <c r="E433" s="110">
        <v>691.83</v>
      </c>
      <c r="F433" s="119">
        <v>450</v>
      </c>
      <c r="G433" s="294">
        <f t="shared" si="166"/>
        <v>1.4444444444444444</v>
      </c>
      <c r="H433" s="490">
        <f>+F433/C433</f>
        <v>0.71198025441427759</v>
      </c>
      <c r="I433" s="290"/>
      <c r="J433" s="119">
        <f t="shared" si="164"/>
        <v>650</v>
      </c>
      <c r="K433" s="290"/>
      <c r="L433" s="290">
        <f t="shared" si="157"/>
        <v>450</v>
      </c>
      <c r="M433" s="354">
        <f t="shared" si="169"/>
        <v>1.4444444444444444</v>
      </c>
      <c r="N433" s="353"/>
      <c r="O433" s="431">
        <f>+X433</f>
        <v>450</v>
      </c>
      <c r="P433" s="119"/>
      <c r="Q433" s="119"/>
      <c r="R433" s="119"/>
      <c r="S433" s="119"/>
      <c r="T433" s="119"/>
      <c r="U433" s="119">
        <v>200</v>
      </c>
      <c r="V433" s="119"/>
      <c r="W433" s="356"/>
      <c r="X433" s="290">
        <v>450</v>
      </c>
      <c r="Y433" s="119"/>
      <c r="Z433" s="119"/>
      <c r="AA433" s="119"/>
      <c r="AB433" s="119"/>
      <c r="AC433" s="119"/>
      <c r="AD433" s="119"/>
      <c r="AE433" s="355"/>
      <c r="AF433" s="356"/>
    </row>
    <row r="434" spans="1:103" outlineLevel="1" x14ac:dyDescent="0.25">
      <c r="A434" s="352" t="s">
        <v>650</v>
      </c>
      <c r="B434" s="475" t="s">
        <v>272</v>
      </c>
      <c r="C434" s="431"/>
      <c r="D434" s="119">
        <v>4628</v>
      </c>
      <c r="E434" s="110">
        <v>8382.39</v>
      </c>
      <c r="F434" s="119">
        <v>6850</v>
      </c>
      <c r="G434" s="294">
        <f t="shared" si="166"/>
        <v>0.67562043795620441</v>
      </c>
      <c r="H434" s="490"/>
      <c r="I434" s="290"/>
      <c r="J434" s="119">
        <f t="shared" si="164"/>
        <v>4628</v>
      </c>
      <c r="K434" s="290"/>
      <c r="L434" s="290">
        <f t="shared" si="157"/>
        <v>3628</v>
      </c>
      <c r="M434" s="354">
        <f t="shared" si="169"/>
        <v>1.2756339581036384</v>
      </c>
      <c r="N434" s="353"/>
      <c r="O434" s="431"/>
      <c r="P434" s="119">
        <v>4628</v>
      </c>
      <c r="Q434" s="119"/>
      <c r="R434" s="119"/>
      <c r="S434" s="119"/>
      <c r="T434" s="119"/>
      <c r="U434" s="119"/>
      <c r="V434" s="119"/>
      <c r="W434" s="356"/>
      <c r="X434" s="290"/>
      <c r="Y434" s="119">
        <v>3628</v>
      </c>
      <c r="Z434" s="119"/>
      <c r="AA434" s="119"/>
      <c r="AB434" s="119"/>
      <c r="AC434" s="119"/>
      <c r="AD434" s="119"/>
      <c r="AE434" s="355"/>
      <c r="AF434" s="356"/>
    </row>
    <row r="435" spans="1:103" outlineLevel="1" x14ac:dyDescent="0.25">
      <c r="A435" s="352" t="s">
        <v>651</v>
      </c>
      <c r="B435" s="475" t="s">
        <v>837</v>
      </c>
      <c r="C435" s="431">
        <v>590.16</v>
      </c>
      <c r="D435" s="119">
        <f>+J435</f>
        <v>550</v>
      </c>
      <c r="E435" s="110">
        <v>539.53</v>
      </c>
      <c r="F435" s="119">
        <f>+L435</f>
        <v>550</v>
      </c>
      <c r="G435" s="294">
        <f t="shared" si="166"/>
        <v>1</v>
      </c>
      <c r="H435" s="490">
        <f>+F435/C435</f>
        <v>0.93195065744882744</v>
      </c>
      <c r="I435" s="290"/>
      <c r="J435" s="119">
        <f t="shared" si="164"/>
        <v>550</v>
      </c>
      <c r="K435" s="290"/>
      <c r="L435" s="290">
        <f t="shared" si="157"/>
        <v>550</v>
      </c>
      <c r="M435" s="354">
        <f t="shared" si="169"/>
        <v>1</v>
      </c>
      <c r="N435" s="353"/>
      <c r="O435" s="431">
        <f>+X435</f>
        <v>550</v>
      </c>
      <c r="P435" s="119"/>
      <c r="Q435" s="119"/>
      <c r="R435" s="119"/>
      <c r="S435" s="119"/>
      <c r="T435" s="119"/>
      <c r="U435" s="119"/>
      <c r="V435" s="119"/>
      <c r="W435" s="356"/>
      <c r="X435" s="290">
        <v>550</v>
      </c>
      <c r="Y435" s="119"/>
      <c r="Z435" s="119"/>
      <c r="AA435" s="119"/>
      <c r="AB435" s="119"/>
      <c r="AC435" s="119"/>
      <c r="AD435" s="119"/>
      <c r="AE435" s="355"/>
      <c r="AF435" s="356"/>
    </row>
    <row r="436" spans="1:103" outlineLevel="1" x14ac:dyDescent="0.25">
      <c r="A436" s="352" t="s">
        <v>1107</v>
      </c>
      <c r="B436" s="475" t="s">
        <v>47</v>
      </c>
      <c r="C436" s="431">
        <v>251.57</v>
      </c>
      <c r="D436" s="119">
        <f>+J436</f>
        <v>0</v>
      </c>
      <c r="E436" s="110">
        <v>209.49</v>
      </c>
      <c r="F436" s="119">
        <v>300</v>
      </c>
      <c r="G436" s="294">
        <f t="shared" si="166"/>
        <v>0</v>
      </c>
      <c r="H436" s="490">
        <f>+F436/C436</f>
        <v>1.1925110307270343</v>
      </c>
      <c r="I436" s="290"/>
      <c r="J436" s="119"/>
      <c r="K436" s="290"/>
      <c r="L436" s="290">
        <f t="shared" si="157"/>
        <v>300</v>
      </c>
      <c r="M436" s="354">
        <f t="shared" si="169"/>
        <v>0</v>
      </c>
      <c r="N436" s="353"/>
      <c r="O436" s="431"/>
      <c r="P436" s="119"/>
      <c r="Q436" s="119"/>
      <c r="R436" s="119"/>
      <c r="S436" s="119"/>
      <c r="T436" s="119"/>
      <c r="U436" s="119"/>
      <c r="V436" s="119"/>
      <c r="W436" s="356"/>
      <c r="X436" s="290"/>
      <c r="Y436" s="119"/>
      <c r="Z436" s="119"/>
      <c r="AA436" s="119">
        <v>300</v>
      </c>
      <c r="AB436" s="119"/>
      <c r="AC436" s="119"/>
      <c r="AD436" s="119"/>
      <c r="AE436" s="355"/>
      <c r="AF436" s="356"/>
    </row>
    <row r="437" spans="1:103" s="351" customFormat="1" ht="15.75" x14ac:dyDescent="0.25">
      <c r="A437" s="345" t="s">
        <v>652</v>
      </c>
      <c r="B437" s="474" t="s">
        <v>495</v>
      </c>
      <c r="C437" s="430">
        <f>+C438</f>
        <v>15191</v>
      </c>
      <c r="D437" s="455">
        <f>+D438</f>
        <v>14076.6</v>
      </c>
      <c r="E437" s="274">
        <f>+E438</f>
        <v>15957</v>
      </c>
      <c r="F437" s="455">
        <f>+F438</f>
        <v>15957.45</v>
      </c>
      <c r="G437" s="292">
        <f t="shared" si="166"/>
        <v>0.88213342357331526</v>
      </c>
      <c r="H437" s="489">
        <f>+F437/C437</f>
        <v>1.0504542163122903</v>
      </c>
      <c r="I437" s="349"/>
      <c r="J437" s="347">
        <f t="shared" si="164"/>
        <v>14076.6</v>
      </c>
      <c r="K437" s="291"/>
      <c r="L437" s="291">
        <f t="shared" si="157"/>
        <v>15957.45</v>
      </c>
      <c r="M437" s="348">
        <f t="shared" si="169"/>
        <v>0.88213342357331526</v>
      </c>
      <c r="N437" s="392"/>
      <c r="O437" s="430">
        <f>+O438</f>
        <v>0</v>
      </c>
      <c r="P437" s="455">
        <f t="shared" ref="P437:AF437" si="172">SUM(P438:P438)</f>
        <v>0</v>
      </c>
      <c r="Q437" s="455">
        <f t="shared" si="172"/>
        <v>7523.4000000000005</v>
      </c>
      <c r="R437" s="455">
        <f t="shared" si="172"/>
        <v>6553.2</v>
      </c>
      <c r="S437" s="455">
        <f t="shared" si="172"/>
        <v>0</v>
      </c>
      <c r="T437" s="455">
        <f t="shared" si="172"/>
        <v>0</v>
      </c>
      <c r="U437" s="455">
        <f t="shared" si="172"/>
        <v>0</v>
      </c>
      <c r="V437" s="455">
        <f t="shared" si="172"/>
        <v>0</v>
      </c>
      <c r="W437" s="350">
        <f t="shared" si="172"/>
        <v>0</v>
      </c>
      <c r="X437" s="349">
        <f t="shared" si="172"/>
        <v>0</v>
      </c>
      <c r="Y437" s="455">
        <f t="shared" si="172"/>
        <v>0</v>
      </c>
      <c r="Z437" s="455">
        <f t="shared" si="172"/>
        <v>9404.25</v>
      </c>
      <c r="AA437" s="455">
        <f t="shared" si="172"/>
        <v>6553.2</v>
      </c>
      <c r="AB437" s="455">
        <f t="shared" si="172"/>
        <v>0</v>
      </c>
      <c r="AC437" s="455">
        <f t="shared" si="172"/>
        <v>0</v>
      </c>
      <c r="AD437" s="455">
        <f t="shared" si="172"/>
        <v>0</v>
      </c>
      <c r="AE437" s="455">
        <f t="shared" si="172"/>
        <v>0</v>
      </c>
      <c r="AF437" s="350">
        <f t="shared" si="172"/>
        <v>0</v>
      </c>
      <c r="AG437" s="293"/>
      <c r="AH437" s="293"/>
      <c r="AI437" s="293"/>
      <c r="AJ437" s="293"/>
      <c r="AK437" s="293"/>
      <c r="AL437" s="293"/>
      <c r="AM437" s="293"/>
      <c r="AN437" s="293"/>
      <c r="AO437" s="293"/>
      <c r="AP437" s="293"/>
      <c r="AQ437" s="293"/>
      <c r="AR437" s="293"/>
      <c r="AS437" s="293"/>
      <c r="AT437" s="293"/>
      <c r="AU437" s="293"/>
      <c r="AV437" s="293"/>
      <c r="AW437" s="293"/>
      <c r="AX437" s="293"/>
      <c r="AY437" s="293"/>
      <c r="AZ437" s="293"/>
      <c r="BA437" s="293"/>
      <c r="BB437" s="293"/>
      <c r="BC437" s="293"/>
      <c r="BD437" s="293"/>
      <c r="BE437" s="293"/>
      <c r="BF437" s="293"/>
      <c r="BG437" s="293"/>
      <c r="BH437" s="293"/>
      <c r="BI437" s="293"/>
      <c r="BJ437" s="293"/>
      <c r="BK437" s="293"/>
      <c r="BL437" s="293"/>
      <c r="BM437" s="293"/>
      <c r="BN437" s="293"/>
      <c r="BO437" s="293"/>
      <c r="BP437" s="293"/>
      <c r="BQ437" s="293"/>
      <c r="BR437" s="293"/>
      <c r="BS437" s="293"/>
      <c r="BT437" s="293"/>
      <c r="BU437" s="293"/>
      <c r="BV437" s="293"/>
      <c r="BW437" s="293"/>
      <c r="BX437" s="293"/>
      <c r="BY437" s="293"/>
      <c r="BZ437" s="293"/>
      <c r="CA437" s="293"/>
      <c r="CB437" s="293"/>
      <c r="CC437" s="293"/>
      <c r="CD437" s="293"/>
      <c r="CE437" s="293"/>
      <c r="CF437" s="293"/>
      <c r="CG437" s="293"/>
      <c r="CH437" s="293"/>
      <c r="CI437" s="293"/>
      <c r="CJ437" s="293"/>
      <c r="CK437" s="293"/>
      <c r="CL437" s="293"/>
      <c r="CM437" s="293"/>
      <c r="CN437" s="293"/>
      <c r="CO437" s="293"/>
      <c r="CP437" s="293"/>
      <c r="CQ437" s="293"/>
      <c r="CR437" s="293"/>
      <c r="CS437" s="293"/>
      <c r="CT437" s="293"/>
      <c r="CU437" s="293"/>
      <c r="CV437" s="293"/>
      <c r="CW437" s="293"/>
      <c r="CX437" s="293"/>
      <c r="CY437" s="293"/>
    </row>
    <row r="438" spans="1:103" outlineLevel="1" x14ac:dyDescent="0.25">
      <c r="A438" s="352" t="s">
        <v>653</v>
      </c>
      <c r="B438" s="475" t="s">
        <v>495</v>
      </c>
      <c r="C438" s="431">
        <v>15191</v>
      </c>
      <c r="D438" s="119">
        <f>+J438</f>
        <v>14076.6</v>
      </c>
      <c r="E438" s="110">
        <v>15957</v>
      </c>
      <c r="F438" s="119">
        <f>+L438</f>
        <v>15957.45</v>
      </c>
      <c r="G438" s="294">
        <f t="shared" si="166"/>
        <v>0.88213342357331526</v>
      </c>
      <c r="H438" s="490">
        <f>+F438/C438</f>
        <v>1.0504542163122903</v>
      </c>
      <c r="I438" s="290"/>
      <c r="J438" s="119">
        <f t="shared" si="164"/>
        <v>14076.6</v>
      </c>
      <c r="K438" s="290"/>
      <c r="L438" s="290">
        <f t="shared" si="157"/>
        <v>15957.45</v>
      </c>
      <c r="M438" s="354">
        <f t="shared" si="169"/>
        <v>0.88213342357331526</v>
      </c>
      <c r="N438" s="353"/>
      <c r="O438" s="431"/>
      <c r="P438" s="119"/>
      <c r="Q438" s="119">
        <f>+Z438*0.8</f>
        <v>7523.4000000000005</v>
      </c>
      <c r="R438" s="119">
        <f>+AA438</f>
        <v>6553.2</v>
      </c>
      <c r="S438" s="119"/>
      <c r="T438" s="119"/>
      <c r="U438" s="119"/>
      <c r="V438" s="119"/>
      <c r="W438" s="356"/>
      <c r="X438" s="290"/>
      <c r="Y438" s="119"/>
      <c r="Z438" s="119">
        <f>62695*0.15</f>
        <v>9404.25</v>
      </c>
      <c r="AA438" s="119">
        <f>+(3694+39994)*0.15</f>
        <v>6553.2</v>
      </c>
      <c r="AB438" s="119"/>
      <c r="AC438" s="119"/>
      <c r="AD438" s="119"/>
      <c r="AE438" s="355"/>
      <c r="AF438" s="356"/>
    </row>
    <row r="439" spans="1:103" s="344" customFormat="1" ht="21" x14ac:dyDescent="0.35">
      <c r="A439" s="513" t="s">
        <v>307</v>
      </c>
      <c r="B439" s="473" t="s">
        <v>282</v>
      </c>
      <c r="C439" s="429">
        <f>+C441+C446+C450+C453+C456+C459</f>
        <v>9244.6</v>
      </c>
      <c r="D439" s="339">
        <f>+D441+D446+D450+D453+D456+D459</f>
        <v>11135.999999999998</v>
      </c>
      <c r="E439" s="501">
        <f>+E441+E446+E450+E453+E456+E459</f>
        <v>8246.3499999999985</v>
      </c>
      <c r="F439" s="339">
        <f>+F441+F446+F450+F453+F456+F459</f>
        <v>11535.999999999998</v>
      </c>
      <c r="G439" s="340">
        <f t="shared" si="166"/>
        <v>0.96532593619972262</v>
      </c>
      <c r="H439" s="488">
        <f>+F439/C439</f>
        <v>1.2478636176795099</v>
      </c>
      <c r="I439" s="288">
        <v>11096</v>
      </c>
      <c r="J439" s="339">
        <f t="shared" si="164"/>
        <v>11136</v>
      </c>
      <c r="K439" s="288">
        <v>11843.1</v>
      </c>
      <c r="L439" s="288">
        <f t="shared" ref="L439:L502" si="173">+X439+Y439+Z439+AA439+AB439+AC439+AD439+AE439+AF439</f>
        <v>11536</v>
      </c>
      <c r="M439" s="342">
        <f t="shared" si="169"/>
        <v>0.96532593619972262</v>
      </c>
      <c r="N439" s="341">
        <f>+L439/I439</f>
        <v>1.0396539293439078</v>
      </c>
      <c r="O439" s="429">
        <f t="shared" ref="O439:AF439" si="174">O441+O446+O450+O453+O456+O459</f>
        <v>750</v>
      </c>
      <c r="P439" s="339">
        <f t="shared" si="174"/>
        <v>0</v>
      </c>
      <c r="Q439" s="339">
        <f t="shared" si="174"/>
        <v>1600</v>
      </c>
      <c r="R439" s="339">
        <f t="shared" si="174"/>
        <v>8786</v>
      </c>
      <c r="S439" s="339">
        <f t="shared" si="174"/>
        <v>0</v>
      </c>
      <c r="T439" s="339">
        <f t="shared" si="174"/>
        <v>0</v>
      </c>
      <c r="U439" s="339">
        <f t="shared" si="174"/>
        <v>0</v>
      </c>
      <c r="V439" s="339">
        <f t="shared" si="174"/>
        <v>0</v>
      </c>
      <c r="W439" s="461">
        <f t="shared" si="174"/>
        <v>0</v>
      </c>
      <c r="X439" s="288">
        <f t="shared" si="174"/>
        <v>750</v>
      </c>
      <c r="Y439" s="288">
        <f t="shared" si="174"/>
        <v>0</v>
      </c>
      <c r="Z439" s="288">
        <f t="shared" si="174"/>
        <v>2000</v>
      </c>
      <c r="AA439" s="288">
        <f t="shared" si="174"/>
        <v>8786</v>
      </c>
      <c r="AB439" s="288">
        <f t="shared" si="174"/>
        <v>0</v>
      </c>
      <c r="AC439" s="288">
        <f t="shared" si="174"/>
        <v>0</v>
      </c>
      <c r="AD439" s="288">
        <f t="shared" si="174"/>
        <v>0</v>
      </c>
      <c r="AE439" s="288">
        <f t="shared" si="174"/>
        <v>0</v>
      </c>
      <c r="AF439" s="289">
        <f t="shared" si="174"/>
        <v>0</v>
      </c>
      <c r="AG439" s="343"/>
      <c r="AH439" s="343"/>
      <c r="AI439" s="343"/>
      <c r="AJ439" s="343"/>
      <c r="AK439" s="343"/>
      <c r="AL439" s="343"/>
      <c r="AM439" s="343"/>
      <c r="AN439" s="343"/>
      <c r="AO439" s="343"/>
      <c r="AP439" s="343"/>
      <c r="AQ439" s="343"/>
      <c r="AR439" s="343"/>
      <c r="AS439" s="343"/>
      <c r="AT439" s="343"/>
      <c r="AU439" s="343"/>
      <c r="AV439" s="343"/>
      <c r="AW439" s="343"/>
      <c r="AX439" s="343"/>
      <c r="AY439" s="343"/>
      <c r="AZ439" s="343"/>
      <c r="BA439" s="343"/>
      <c r="BB439" s="343"/>
      <c r="BC439" s="343"/>
      <c r="BD439" s="343"/>
      <c r="BE439" s="343"/>
      <c r="BF439" s="343"/>
      <c r="BG439" s="343"/>
      <c r="BH439" s="343"/>
      <c r="BI439" s="343"/>
      <c r="BJ439" s="343"/>
      <c r="BK439" s="343"/>
      <c r="BL439" s="343"/>
      <c r="BM439" s="343"/>
      <c r="BN439" s="343"/>
      <c r="BO439" s="343"/>
      <c r="BP439" s="343"/>
      <c r="BQ439" s="343"/>
      <c r="BR439" s="343"/>
      <c r="BS439" s="343"/>
      <c r="BT439" s="343"/>
      <c r="BU439" s="343"/>
      <c r="BV439" s="343"/>
      <c r="BW439" s="343"/>
      <c r="BX439" s="343"/>
      <c r="BY439" s="343"/>
      <c r="BZ439" s="343"/>
      <c r="CA439" s="343"/>
      <c r="CB439" s="343"/>
      <c r="CC439" s="343"/>
      <c r="CD439" s="343"/>
      <c r="CE439" s="343"/>
      <c r="CF439" s="343"/>
      <c r="CG439" s="343"/>
      <c r="CH439" s="343"/>
      <c r="CI439" s="343"/>
      <c r="CJ439" s="343"/>
      <c r="CK439" s="343"/>
      <c r="CL439" s="343"/>
      <c r="CM439" s="343"/>
      <c r="CN439" s="343"/>
      <c r="CO439" s="343"/>
      <c r="CP439" s="343"/>
      <c r="CQ439" s="343"/>
      <c r="CR439" s="343"/>
      <c r="CS439" s="343"/>
      <c r="CT439" s="343"/>
      <c r="CU439" s="343"/>
      <c r="CV439" s="343"/>
      <c r="CW439" s="343"/>
      <c r="CX439" s="343"/>
      <c r="CY439" s="343"/>
    </row>
    <row r="440" spans="1:103" s="344" customFormat="1" ht="21" x14ac:dyDescent="0.35">
      <c r="A440" s="394"/>
      <c r="B440" s="479" t="s">
        <v>1343</v>
      </c>
      <c r="C440" s="434"/>
      <c r="D440" s="415"/>
      <c r="E440" s="507"/>
      <c r="F440" s="415"/>
      <c r="G440" s="416"/>
      <c r="H440" s="495"/>
      <c r="I440" s="386">
        <v>1851</v>
      </c>
      <c r="J440" s="383">
        <v>2619</v>
      </c>
      <c r="K440" s="386"/>
      <c r="L440" s="386">
        <f>+J440</f>
        <v>2619</v>
      </c>
      <c r="M440" s="395"/>
      <c r="N440" s="417"/>
      <c r="O440" s="434">
        <f>+X440*1.01</f>
        <v>0</v>
      </c>
      <c r="P440" s="415"/>
      <c r="Q440" s="415"/>
      <c r="R440" s="415"/>
      <c r="S440" s="415"/>
      <c r="T440" s="415"/>
      <c r="U440" s="415"/>
      <c r="V440" s="415"/>
      <c r="W440" s="521"/>
      <c r="X440" s="396"/>
      <c r="Y440" s="396"/>
      <c r="Z440" s="396"/>
      <c r="AA440" s="396"/>
      <c r="AB440" s="396"/>
      <c r="AC440" s="396"/>
      <c r="AD440" s="396"/>
      <c r="AE440" s="396"/>
      <c r="AF440" s="397"/>
      <c r="AG440" s="343"/>
      <c r="AH440" s="343"/>
      <c r="AI440" s="343"/>
      <c r="AJ440" s="343"/>
      <c r="AK440" s="343"/>
      <c r="AL440" s="343"/>
      <c r="AM440" s="343"/>
      <c r="AN440" s="343"/>
      <c r="AO440" s="343"/>
      <c r="AP440" s="343"/>
      <c r="AQ440" s="343"/>
      <c r="AR440" s="343"/>
      <c r="AS440" s="343"/>
      <c r="AT440" s="343"/>
      <c r="AU440" s="343"/>
      <c r="AV440" s="343"/>
      <c r="AW440" s="343"/>
      <c r="AX440" s="343"/>
      <c r="AY440" s="343"/>
      <c r="AZ440" s="343"/>
      <c r="BA440" s="343"/>
      <c r="BB440" s="343"/>
      <c r="BC440" s="343"/>
      <c r="BD440" s="343"/>
      <c r="BE440" s="343"/>
      <c r="BF440" s="343"/>
      <c r="BG440" s="343"/>
      <c r="BH440" s="343"/>
      <c r="BI440" s="343"/>
      <c r="BJ440" s="343"/>
      <c r="BK440" s="343"/>
      <c r="BL440" s="343"/>
      <c r="BM440" s="343"/>
      <c r="BN440" s="343"/>
      <c r="BO440" s="343"/>
      <c r="BP440" s="343"/>
      <c r="BQ440" s="343"/>
      <c r="BR440" s="343"/>
      <c r="BS440" s="343"/>
      <c r="BT440" s="343"/>
      <c r="BU440" s="343"/>
      <c r="BV440" s="343"/>
      <c r="BW440" s="343"/>
      <c r="BX440" s="343"/>
      <c r="BY440" s="343"/>
      <c r="BZ440" s="343"/>
      <c r="CA440" s="343"/>
      <c r="CB440" s="343"/>
      <c r="CC440" s="343"/>
      <c r="CD440" s="343"/>
      <c r="CE440" s="343"/>
      <c r="CF440" s="343"/>
      <c r="CG440" s="343"/>
      <c r="CH440" s="343"/>
      <c r="CI440" s="343"/>
      <c r="CJ440" s="343"/>
      <c r="CK440" s="343"/>
      <c r="CL440" s="343"/>
      <c r="CM440" s="343"/>
      <c r="CN440" s="343"/>
      <c r="CO440" s="343"/>
      <c r="CP440" s="343"/>
      <c r="CQ440" s="343"/>
      <c r="CR440" s="343"/>
      <c r="CS440" s="343"/>
      <c r="CT440" s="343"/>
      <c r="CU440" s="343"/>
      <c r="CV440" s="343"/>
      <c r="CW440" s="343"/>
      <c r="CX440" s="343"/>
      <c r="CY440" s="343"/>
    </row>
    <row r="441" spans="1:103" s="351" customFormat="1" ht="15.75" x14ac:dyDescent="0.25">
      <c r="A441" s="345" t="s">
        <v>344</v>
      </c>
      <c r="B441" s="474" t="s">
        <v>265</v>
      </c>
      <c r="C441" s="430">
        <f>+C442+C443+C444+C445</f>
        <v>0</v>
      </c>
      <c r="D441" s="455">
        <f>+D442+D443+D444+D445</f>
        <v>750</v>
      </c>
      <c r="E441" s="274">
        <f>+E442+E443+E444+E445</f>
        <v>125.33</v>
      </c>
      <c r="F441" s="455">
        <f>+F442+F443+F444+F445</f>
        <v>750</v>
      </c>
      <c r="G441" s="292">
        <f t="shared" si="166"/>
        <v>1</v>
      </c>
      <c r="H441" s="489"/>
      <c r="I441" s="349"/>
      <c r="J441" s="347">
        <f>+J442+J443+J444+J445</f>
        <v>750</v>
      </c>
      <c r="K441" s="291"/>
      <c r="L441" s="291">
        <f t="shared" si="173"/>
        <v>750</v>
      </c>
      <c r="M441" s="348">
        <f>+J441/L441</f>
        <v>1</v>
      </c>
      <c r="N441" s="392"/>
      <c r="O441" s="430">
        <f>SUM(O442:O445)</f>
        <v>750</v>
      </c>
      <c r="P441" s="455">
        <f>SUM(P442:P445)</f>
        <v>0</v>
      </c>
      <c r="Q441" s="455">
        <f>SUM(Q442:Q445)</f>
        <v>0</v>
      </c>
      <c r="R441" s="455">
        <f>SUM(R442:R445)</f>
        <v>0</v>
      </c>
      <c r="S441" s="455">
        <f>SUM(S442:S445)</f>
        <v>0</v>
      </c>
      <c r="T441" s="455">
        <f t="shared" ref="T441:AA441" si="175">SUM(T442:T445)</f>
        <v>0</v>
      </c>
      <c r="U441" s="455">
        <f t="shared" si="175"/>
        <v>0</v>
      </c>
      <c r="V441" s="455">
        <f t="shared" si="175"/>
        <v>0</v>
      </c>
      <c r="W441" s="350">
        <f t="shared" si="175"/>
        <v>0</v>
      </c>
      <c r="X441" s="349">
        <f t="shared" si="175"/>
        <v>750</v>
      </c>
      <c r="Y441" s="455">
        <f t="shared" si="175"/>
        <v>0</v>
      </c>
      <c r="Z441" s="455">
        <f t="shared" si="175"/>
        <v>0</v>
      </c>
      <c r="AA441" s="455">
        <f t="shared" si="175"/>
        <v>0</v>
      </c>
      <c r="AB441" s="455">
        <f>SUM(AB442:AB445)</f>
        <v>0</v>
      </c>
      <c r="AC441" s="455">
        <f>SUM(AC442:AC445)</f>
        <v>0</v>
      </c>
      <c r="AD441" s="455">
        <f>SUM(AD442:AD445)</f>
        <v>0</v>
      </c>
      <c r="AE441" s="455">
        <f>SUM(AE442:AE445)</f>
        <v>0</v>
      </c>
      <c r="AF441" s="350">
        <f>SUM(AF442:AF445)</f>
        <v>0</v>
      </c>
      <c r="AG441" s="293"/>
      <c r="AH441" s="293"/>
      <c r="AI441" s="293"/>
      <c r="AJ441" s="293"/>
      <c r="AK441" s="293"/>
      <c r="AL441" s="293"/>
      <c r="AM441" s="293"/>
      <c r="AN441" s="293"/>
      <c r="AO441" s="293"/>
      <c r="AP441" s="293"/>
      <c r="AQ441" s="293"/>
      <c r="AR441" s="293"/>
      <c r="AS441" s="293"/>
      <c r="AT441" s="293"/>
      <c r="AU441" s="293"/>
      <c r="AV441" s="293"/>
      <c r="AW441" s="293"/>
      <c r="AX441" s="293"/>
      <c r="AY441" s="293"/>
      <c r="AZ441" s="293"/>
      <c r="BA441" s="293"/>
      <c r="BB441" s="293"/>
      <c r="BC441" s="293"/>
      <c r="BD441" s="293"/>
      <c r="BE441" s="293"/>
      <c r="BF441" s="293"/>
      <c r="BG441" s="293"/>
      <c r="BH441" s="293"/>
      <c r="BI441" s="293"/>
      <c r="BJ441" s="293"/>
      <c r="BK441" s="293"/>
      <c r="BL441" s="293"/>
      <c r="BM441" s="293"/>
      <c r="BN441" s="293"/>
      <c r="BO441" s="293"/>
      <c r="BP441" s="293"/>
      <c r="BQ441" s="293"/>
      <c r="BR441" s="293"/>
      <c r="BS441" s="293"/>
      <c r="BT441" s="293"/>
      <c r="BU441" s="293"/>
      <c r="BV441" s="293"/>
      <c r="BW441" s="293"/>
      <c r="BX441" s="293"/>
      <c r="BY441" s="293"/>
      <c r="BZ441" s="293"/>
      <c r="CA441" s="293"/>
      <c r="CB441" s="293"/>
      <c r="CC441" s="293"/>
      <c r="CD441" s="293"/>
      <c r="CE441" s="293"/>
      <c r="CF441" s="293"/>
      <c r="CG441" s="293"/>
      <c r="CH441" s="293"/>
      <c r="CI441" s="293"/>
      <c r="CJ441" s="293"/>
      <c r="CK441" s="293"/>
      <c r="CL441" s="293"/>
      <c r="CM441" s="293"/>
      <c r="CN441" s="293"/>
      <c r="CO441" s="293"/>
      <c r="CP441" s="293"/>
      <c r="CQ441" s="293"/>
      <c r="CR441" s="293"/>
      <c r="CS441" s="293"/>
      <c r="CT441" s="293"/>
      <c r="CU441" s="293"/>
      <c r="CV441" s="293"/>
      <c r="CW441" s="293"/>
      <c r="CX441" s="293"/>
      <c r="CY441" s="293"/>
    </row>
    <row r="442" spans="1:103" outlineLevel="1" x14ac:dyDescent="0.25">
      <c r="A442" s="358" t="s">
        <v>345</v>
      </c>
      <c r="B442" s="475" t="s">
        <v>281</v>
      </c>
      <c r="C442" s="431"/>
      <c r="D442" s="119">
        <f>+J442</f>
        <v>200</v>
      </c>
      <c r="E442" s="110"/>
      <c r="F442" s="119">
        <f>+L442</f>
        <v>200</v>
      </c>
      <c r="G442" s="294">
        <f t="shared" si="166"/>
        <v>1</v>
      </c>
      <c r="H442" s="490"/>
      <c r="I442" s="290"/>
      <c r="J442" s="119">
        <f t="shared" ref="J442:J461" si="176">+O442+P442+Q442+R442+S442+T442+U442+V442+W442</f>
        <v>200</v>
      </c>
      <c r="K442" s="290"/>
      <c r="L442" s="290">
        <f t="shared" si="173"/>
        <v>200</v>
      </c>
      <c r="M442" s="354">
        <f>+J442/L442</f>
        <v>1</v>
      </c>
      <c r="N442" s="353"/>
      <c r="O442" s="431">
        <f>+X442</f>
        <v>200</v>
      </c>
      <c r="P442" s="119"/>
      <c r="Q442" s="119"/>
      <c r="R442" s="119"/>
      <c r="S442" s="119"/>
      <c r="T442" s="119"/>
      <c r="U442" s="119"/>
      <c r="V442" s="119"/>
      <c r="W442" s="356"/>
      <c r="X442" s="290">
        <v>200</v>
      </c>
      <c r="Y442" s="119"/>
      <c r="Z442" s="119"/>
      <c r="AA442" s="119"/>
      <c r="AB442" s="119"/>
      <c r="AC442" s="119"/>
      <c r="AD442" s="119"/>
      <c r="AE442" s="355"/>
      <c r="AF442" s="356"/>
    </row>
    <row r="443" spans="1:103" outlineLevel="1" x14ac:dyDescent="0.25">
      <c r="A443" s="352" t="s">
        <v>346</v>
      </c>
      <c r="B443" s="475" t="s">
        <v>309</v>
      </c>
      <c r="C443" s="431"/>
      <c r="D443" s="119">
        <f>+J443</f>
        <v>400</v>
      </c>
      <c r="E443" s="110"/>
      <c r="F443" s="119">
        <f>+L443</f>
        <v>400</v>
      </c>
      <c r="G443" s="294">
        <f t="shared" si="166"/>
        <v>1</v>
      </c>
      <c r="H443" s="490"/>
      <c r="I443" s="290"/>
      <c r="J443" s="119">
        <f t="shared" si="176"/>
        <v>400</v>
      </c>
      <c r="K443" s="290"/>
      <c r="L443" s="290">
        <f t="shared" si="173"/>
        <v>400</v>
      </c>
      <c r="M443" s="354">
        <f>+J443/L443</f>
        <v>1</v>
      </c>
      <c r="N443" s="353"/>
      <c r="O443" s="431">
        <f>+X443</f>
        <v>400</v>
      </c>
      <c r="P443" s="119"/>
      <c r="Q443" s="119"/>
      <c r="R443" s="119"/>
      <c r="S443" s="119"/>
      <c r="T443" s="119"/>
      <c r="U443" s="119"/>
      <c r="V443" s="119"/>
      <c r="W443" s="356"/>
      <c r="X443" s="290">
        <v>400</v>
      </c>
      <c r="Y443" s="119"/>
      <c r="Z443" s="119"/>
      <c r="AA443" s="119"/>
      <c r="AB443" s="119"/>
      <c r="AC443" s="119"/>
      <c r="AD443" s="119"/>
      <c r="AE443" s="355"/>
      <c r="AF443" s="356"/>
    </row>
    <row r="444" spans="1:103" outlineLevel="1" x14ac:dyDescent="0.25">
      <c r="A444" s="352" t="s">
        <v>347</v>
      </c>
      <c r="B444" s="475" t="s">
        <v>285</v>
      </c>
      <c r="C444" s="431"/>
      <c r="D444" s="119">
        <f>+J444</f>
        <v>150</v>
      </c>
      <c r="E444" s="110"/>
      <c r="F444" s="119">
        <f>+L444</f>
        <v>150</v>
      </c>
      <c r="G444" s="294">
        <f t="shared" si="166"/>
        <v>1</v>
      </c>
      <c r="H444" s="490"/>
      <c r="I444" s="290"/>
      <c r="J444" s="119">
        <f t="shared" si="176"/>
        <v>150</v>
      </c>
      <c r="K444" s="290"/>
      <c r="L444" s="290">
        <f t="shared" si="173"/>
        <v>150</v>
      </c>
      <c r="M444" s="354">
        <f>+J444/L444</f>
        <v>1</v>
      </c>
      <c r="N444" s="353"/>
      <c r="O444" s="431">
        <f>+X444</f>
        <v>150</v>
      </c>
      <c r="P444" s="119"/>
      <c r="Q444" s="119"/>
      <c r="R444" s="119"/>
      <c r="S444" s="119"/>
      <c r="T444" s="119"/>
      <c r="U444" s="119"/>
      <c r="V444" s="119"/>
      <c r="W444" s="356"/>
      <c r="X444" s="290">
        <v>150</v>
      </c>
      <c r="Y444" s="119"/>
      <c r="Z444" s="119"/>
      <c r="AA444" s="119"/>
      <c r="AB444" s="119"/>
      <c r="AC444" s="119"/>
      <c r="AD444" s="119"/>
      <c r="AE444" s="355"/>
      <c r="AF444" s="356"/>
    </row>
    <row r="445" spans="1:103" outlineLevel="1" x14ac:dyDescent="0.25">
      <c r="A445" s="352" t="s">
        <v>1108</v>
      </c>
      <c r="B445" s="475" t="s">
        <v>47</v>
      </c>
      <c r="C445" s="431"/>
      <c r="D445" s="119">
        <f>+J445</f>
        <v>0</v>
      </c>
      <c r="E445" s="110">
        <v>125.33</v>
      </c>
      <c r="F445" s="119">
        <f>+L445</f>
        <v>0</v>
      </c>
      <c r="G445" s="294"/>
      <c r="H445" s="490"/>
      <c r="I445" s="290"/>
      <c r="J445" s="119">
        <f t="shared" si="176"/>
        <v>0</v>
      </c>
      <c r="K445" s="290"/>
      <c r="L445" s="290">
        <f t="shared" si="173"/>
        <v>0</v>
      </c>
      <c r="M445" s="354"/>
      <c r="N445" s="353"/>
      <c r="O445" s="431"/>
      <c r="P445" s="119"/>
      <c r="Q445" s="119"/>
      <c r="R445" s="119"/>
      <c r="S445" s="119"/>
      <c r="T445" s="119"/>
      <c r="U445" s="119"/>
      <c r="V445" s="119"/>
      <c r="W445" s="356"/>
      <c r="X445" s="290"/>
      <c r="Y445" s="119"/>
      <c r="Z445" s="119"/>
      <c r="AA445" s="119"/>
      <c r="AB445" s="119"/>
      <c r="AC445" s="119"/>
      <c r="AD445" s="119"/>
      <c r="AE445" s="355"/>
      <c r="AF445" s="356"/>
    </row>
    <row r="446" spans="1:103" s="351" customFormat="1" ht="15.75" x14ac:dyDescent="0.25">
      <c r="A446" s="345" t="s">
        <v>349</v>
      </c>
      <c r="B446" s="474" t="s">
        <v>248</v>
      </c>
      <c r="C446" s="430">
        <f>+C447+C448+C449</f>
        <v>0</v>
      </c>
      <c r="D446" s="455">
        <f>+D447+D448+D449</f>
        <v>0</v>
      </c>
      <c r="E446" s="274">
        <f>+E447+E448+E449</f>
        <v>0</v>
      </c>
      <c r="F446" s="455">
        <f>+F447+F448+F449</f>
        <v>0</v>
      </c>
      <c r="G446" s="292"/>
      <c r="H446" s="489"/>
      <c r="I446" s="349"/>
      <c r="J446" s="347">
        <f>+J447+J448+J449</f>
        <v>0</v>
      </c>
      <c r="K446" s="291"/>
      <c r="L446" s="291">
        <f t="shared" si="173"/>
        <v>0</v>
      </c>
      <c r="M446" s="348"/>
      <c r="N446" s="392"/>
      <c r="O446" s="430">
        <f t="shared" ref="O446:AF446" si="177">SUM(O447:O449)</f>
        <v>0</v>
      </c>
      <c r="P446" s="455">
        <f t="shared" si="177"/>
        <v>0</v>
      </c>
      <c r="Q446" s="455">
        <f t="shared" si="177"/>
        <v>0</v>
      </c>
      <c r="R446" s="455">
        <f t="shared" si="177"/>
        <v>0</v>
      </c>
      <c r="S446" s="455">
        <f t="shared" si="177"/>
        <v>0</v>
      </c>
      <c r="T446" s="455">
        <f t="shared" si="177"/>
        <v>0</v>
      </c>
      <c r="U446" s="455">
        <f t="shared" si="177"/>
        <v>0</v>
      </c>
      <c r="V446" s="455">
        <f t="shared" si="177"/>
        <v>0</v>
      </c>
      <c r="W446" s="350">
        <f t="shared" si="177"/>
        <v>0</v>
      </c>
      <c r="X446" s="349">
        <f t="shared" si="177"/>
        <v>0</v>
      </c>
      <c r="Y446" s="455">
        <f t="shared" si="177"/>
        <v>0</v>
      </c>
      <c r="Z446" s="455">
        <f t="shared" si="177"/>
        <v>0</v>
      </c>
      <c r="AA446" s="455">
        <f t="shared" si="177"/>
        <v>0</v>
      </c>
      <c r="AB446" s="455">
        <f t="shared" si="177"/>
        <v>0</v>
      </c>
      <c r="AC446" s="455">
        <f t="shared" si="177"/>
        <v>0</v>
      </c>
      <c r="AD446" s="455">
        <f t="shared" si="177"/>
        <v>0</v>
      </c>
      <c r="AE446" s="455">
        <f t="shared" si="177"/>
        <v>0</v>
      </c>
      <c r="AF446" s="350">
        <f t="shared" si="177"/>
        <v>0</v>
      </c>
      <c r="AG446" s="293"/>
      <c r="AH446" s="293"/>
      <c r="AI446" s="293"/>
      <c r="AJ446" s="293"/>
      <c r="AK446" s="293"/>
      <c r="AL446" s="293"/>
      <c r="AM446" s="293"/>
      <c r="AN446" s="293"/>
      <c r="AO446" s="293"/>
      <c r="AP446" s="293"/>
      <c r="AQ446" s="293"/>
      <c r="AR446" s="293"/>
      <c r="AS446" s="293"/>
      <c r="AT446" s="293"/>
      <c r="AU446" s="293"/>
      <c r="AV446" s="293"/>
      <c r="AW446" s="293"/>
      <c r="AX446" s="293"/>
      <c r="AY446" s="293"/>
      <c r="AZ446" s="293"/>
      <c r="BA446" s="293"/>
      <c r="BB446" s="293"/>
      <c r="BC446" s="293"/>
      <c r="BD446" s="293"/>
      <c r="BE446" s="293"/>
      <c r="BF446" s="293"/>
      <c r="BG446" s="293"/>
      <c r="BH446" s="293"/>
      <c r="BI446" s="293"/>
      <c r="BJ446" s="293"/>
      <c r="BK446" s="293"/>
      <c r="BL446" s="293"/>
      <c r="BM446" s="293"/>
      <c r="BN446" s="293"/>
      <c r="BO446" s="293"/>
      <c r="BP446" s="293"/>
      <c r="BQ446" s="293"/>
      <c r="BR446" s="293"/>
      <c r="BS446" s="293"/>
      <c r="BT446" s="293"/>
      <c r="BU446" s="293"/>
      <c r="BV446" s="293"/>
      <c r="BW446" s="293"/>
      <c r="BX446" s="293"/>
      <c r="BY446" s="293"/>
      <c r="BZ446" s="293"/>
      <c r="CA446" s="293"/>
      <c r="CB446" s="293"/>
      <c r="CC446" s="293"/>
      <c r="CD446" s="293"/>
      <c r="CE446" s="293"/>
      <c r="CF446" s="293"/>
      <c r="CG446" s="293"/>
      <c r="CH446" s="293"/>
      <c r="CI446" s="293"/>
      <c r="CJ446" s="293"/>
      <c r="CK446" s="293"/>
      <c r="CL446" s="293"/>
      <c r="CM446" s="293"/>
      <c r="CN446" s="293"/>
      <c r="CO446" s="293"/>
      <c r="CP446" s="293"/>
      <c r="CQ446" s="293"/>
      <c r="CR446" s="293"/>
      <c r="CS446" s="293"/>
      <c r="CT446" s="293"/>
      <c r="CU446" s="293"/>
      <c r="CV446" s="293"/>
      <c r="CW446" s="293"/>
      <c r="CX446" s="293"/>
      <c r="CY446" s="293"/>
    </row>
    <row r="447" spans="1:103" outlineLevel="1" x14ac:dyDescent="0.25">
      <c r="A447" s="352" t="s">
        <v>350</v>
      </c>
      <c r="B447" s="475" t="s">
        <v>287</v>
      </c>
      <c r="C447" s="431"/>
      <c r="D447" s="119"/>
      <c r="E447" s="110"/>
      <c r="F447" s="119"/>
      <c r="G447" s="294"/>
      <c r="H447" s="490"/>
      <c r="I447" s="290"/>
      <c r="J447" s="119"/>
      <c r="K447" s="290"/>
      <c r="L447" s="290">
        <f t="shared" si="173"/>
        <v>0</v>
      </c>
      <c r="M447" s="354"/>
      <c r="N447" s="353"/>
      <c r="O447" s="431"/>
      <c r="P447" s="119"/>
      <c r="Q447" s="119"/>
      <c r="R447" s="119"/>
      <c r="S447" s="119"/>
      <c r="T447" s="119"/>
      <c r="U447" s="119"/>
      <c r="V447" s="119"/>
      <c r="W447" s="356"/>
      <c r="X447" s="290"/>
      <c r="Y447" s="119"/>
      <c r="Z447" s="119"/>
      <c r="AA447" s="119"/>
      <c r="AB447" s="119"/>
      <c r="AC447" s="119"/>
      <c r="AD447" s="119"/>
      <c r="AE447" s="355"/>
      <c r="AF447" s="356"/>
    </row>
    <row r="448" spans="1:103" outlineLevel="1" x14ac:dyDescent="0.25">
      <c r="A448" s="352" t="s">
        <v>351</v>
      </c>
      <c r="B448" s="475" t="s">
        <v>288</v>
      </c>
      <c r="C448" s="431"/>
      <c r="D448" s="119"/>
      <c r="E448" s="110"/>
      <c r="F448" s="119"/>
      <c r="G448" s="294"/>
      <c r="H448" s="490"/>
      <c r="I448" s="290"/>
      <c r="J448" s="119"/>
      <c r="K448" s="290"/>
      <c r="L448" s="290">
        <f t="shared" si="173"/>
        <v>0</v>
      </c>
      <c r="M448" s="354"/>
      <c r="N448" s="353"/>
      <c r="O448" s="431"/>
      <c r="P448" s="119"/>
      <c r="Q448" s="119"/>
      <c r="R448" s="119"/>
      <c r="S448" s="119"/>
      <c r="T448" s="119"/>
      <c r="U448" s="119"/>
      <c r="V448" s="119"/>
      <c r="W448" s="356"/>
      <c r="X448" s="290"/>
      <c r="Y448" s="119"/>
      <c r="Z448" s="119"/>
      <c r="AA448" s="119"/>
      <c r="AB448" s="119"/>
      <c r="AC448" s="119"/>
      <c r="AD448" s="119"/>
      <c r="AE448" s="355"/>
      <c r="AF448" s="356"/>
    </row>
    <row r="449" spans="1:103" outlineLevel="1" x14ac:dyDescent="0.25">
      <c r="A449" s="352" t="s">
        <v>1109</v>
      </c>
      <c r="B449" s="475" t="s">
        <v>47</v>
      </c>
      <c r="C449" s="431"/>
      <c r="D449" s="119"/>
      <c r="E449" s="110"/>
      <c r="F449" s="119"/>
      <c r="G449" s="294"/>
      <c r="H449" s="490"/>
      <c r="I449" s="290"/>
      <c r="J449" s="119"/>
      <c r="K449" s="290"/>
      <c r="L449" s="290">
        <f t="shared" si="173"/>
        <v>0</v>
      </c>
      <c r="M449" s="354"/>
      <c r="N449" s="353"/>
      <c r="O449" s="431"/>
      <c r="P449" s="119"/>
      <c r="Q449" s="119"/>
      <c r="R449" s="119"/>
      <c r="S449" s="119"/>
      <c r="T449" s="119"/>
      <c r="U449" s="119"/>
      <c r="V449" s="119"/>
      <c r="W449" s="356"/>
      <c r="X449" s="290"/>
      <c r="Y449" s="119"/>
      <c r="Z449" s="119"/>
      <c r="AA449" s="119"/>
      <c r="AB449" s="119"/>
      <c r="AC449" s="119"/>
      <c r="AD449" s="119"/>
      <c r="AE449" s="355"/>
      <c r="AF449" s="356"/>
    </row>
    <row r="450" spans="1:103" s="351" customFormat="1" ht="15.75" x14ac:dyDescent="0.25">
      <c r="A450" s="345" t="s">
        <v>353</v>
      </c>
      <c r="B450" s="474" t="s">
        <v>700</v>
      </c>
      <c r="C450" s="430">
        <f>+C451+C452</f>
        <v>4528.0200000000004</v>
      </c>
      <c r="D450" s="455">
        <f>+D451+D452</f>
        <v>5094.0499999999993</v>
      </c>
      <c r="E450" s="274">
        <f>+E451+E452</f>
        <v>3774.96</v>
      </c>
      <c r="F450" s="455">
        <f>+F451+F452</f>
        <v>5434.0499999999993</v>
      </c>
      <c r="G450" s="292">
        <f t="shared" si="166"/>
        <v>0.93743156577506648</v>
      </c>
      <c r="H450" s="489">
        <f>+F450/C450</f>
        <v>1.200094080856533</v>
      </c>
      <c r="I450" s="349"/>
      <c r="J450" s="347">
        <f>+J451+J452</f>
        <v>5094.0499999999993</v>
      </c>
      <c r="K450" s="291"/>
      <c r="L450" s="291">
        <f t="shared" si="173"/>
        <v>5434.0499999999993</v>
      </c>
      <c r="M450" s="348">
        <f>+J450/L450</f>
        <v>0.93743156577506648</v>
      </c>
      <c r="N450" s="392"/>
      <c r="O450" s="430">
        <f>+O451+O452</f>
        <v>0</v>
      </c>
      <c r="P450" s="455">
        <f t="shared" ref="P450:AF450" si="178">SUM(P451:P452)</f>
        <v>0</v>
      </c>
      <c r="Q450" s="455">
        <f t="shared" si="178"/>
        <v>1360</v>
      </c>
      <c r="R450" s="455">
        <f t="shared" si="178"/>
        <v>3734.0499999999997</v>
      </c>
      <c r="S450" s="455">
        <f t="shared" si="178"/>
        <v>0</v>
      </c>
      <c r="T450" s="455">
        <f t="shared" si="178"/>
        <v>0</v>
      </c>
      <c r="U450" s="455">
        <f t="shared" si="178"/>
        <v>0</v>
      </c>
      <c r="V450" s="455">
        <f t="shared" si="178"/>
        <v>0</v>
      </c>
      <c r="W450" s="350">
        <f t="shared" si="178"/>
        <v>0</v>
      </c>
      <c r="X450" s="349">
        <f t="shared" si="178"/>
        <v>0</v>
      </c>
      <c r="Y450" s="455">
        <f t="shared" si="178"/>
        <v>0</v>
      </c>
      <c r="Z450" s="455">
        <f t="shared" si="178"/>
        <v>1700</v>
      </c>
      <c r="AA450" s="455">
        <f t="shared" si="178"/>
        <v>3734.0499999999997</v>
      </c>
      <c r="AB450" s="455">
        <f t="shared" si="178"/>
        <v>0</v>
      </c>
      <c r="AC450" s="455">
        <f t="shared" si="178"/>
        <v>0</v>
      </c>
      <c r="AD450" s="455">
        <f t="shared" si="178"/>
        <v>0</v>
      </c>
      <c r="AE450" s="455">
        <f t="shared" si="178"/>
        <v>0</v>
      </c>
      <c r="AF450" s="350">
        <f t="shared" si="178"/>
        <v>0</v>
      </c>
      <c r="AG450" s="293"/>
      <c r="AH450" s="293"/>
      <c r="AI450" s="293"/>
      <c r="AJ450" s="293"/>
      <c r="AK450" s="293"/>
      <c r="AL450" s="293"/>
      <c r="AM450" s="293"/>
      <c r="AN450" s="293"/>
      <c r="AO450" s="293"/>
      <c r="AP450" s="293"/>
      <c r="AQ450" s="293"/>
      <c r="AR450" s="293"/>
      <c r="AS450" s="293"/>
      <c r="AT450" s="293"/>
      <c r="AU450" s="293"/>
      <c r="AV450" s="293"/>
      <c r="AW450" s="293"/>
      <c r="AX450" s="293"/>
      <c r="AY450" s="293"/>
      <c r="AZ450" s="293"/>
      <c r="BA450" s="293"/>
      <c r="BB450" s="293"/>
      <c r="BC450" s="293"/>
      <c r="BD450" s="293"/>
      <c r="BE450" s="293"/>
      <c r="BF450" s="293"/>
      <c r="BG450" s="293"/>
      <c r="BH450" s="293"/>
      <c r="BI450" s="293"/>
      <c r="BJ450" s="293"/>
      <c r="BK450" s="293"/>
      <c r="BL450" s="293"/>
      <c r="BM450" s="293"/>
      <c r="BN450" s="293"/>
      <c r="BO450" s="293"/>
      <c r="BP450" s="293"/>
      <c r="BQ450" s="293"/>
      <c r="BR450" s="293"/>
      <c r="BS450" s="293"/>
      <c r="BT450" s="293"/>
      <c r="BU450" s="293"/>
      <c r="BV450" s="293"/>
      <c r="BW450" s="293"/>
      <c r="BX450" s="293"/>
      <c r="BY450" s="293"/>
      <c r="BZ450" s="293"/>
      <c r="CA450" s="293"/>
      <c r="CB450" s="293"/>
      <c r="CC450" s="293"/>
      <c r="CD450" s="293"/>
      <c r="CE450" s="293"/>
      <c r="CF450" s="293"/>
      <c r="CG450" s="293"/>
      <c r="CH450" s="293"/>
      <c r="CI450" s="293"/>
      <c r="CJ450" s="293"/>
      <c r="CK450" s="293"/>
      <c r="CL450" s="293"/>
      <c r="CM450" s="293"/>
      <c r="CN450" s="293"/>
      <c r="CO450" s="293"/>
      <c r="CP450" s="293"/>
      <c r="CQ450" s="293"/>
      <c r="CR450" s="293"/>
      <c r="CS450" s="293"/>
      <c r="CT450" s="293"/>
      <c r="CU450" s="293"/>
      <c r="CV450" s="293"/>
      <c r="CW450" s="293"/>
      <c r="CX450" s="293"/>
      <c r="CY450" s="293"/>
    </row>
    <row r="451" spans="1:103" outlineLevel="1" x14ac:dyDescent="0.25">
      <c r="A451" s="352" t="s">
        <v>354</v>
      </c>
      <c r="B451" s="475" t="s">
        <v>862</v>
      </c>
      <c r="C451" s="431">
        <v>4528.0200000000004</v>
      </c>
      <c r="D451" s="119">
        <f>+J451</f>
        <v>5094.0499999999993</v>
      </c>
      <c r="E451" s="110">
        <v>3774.96</v>
      </c>
      <c r="F451" s="119">
        <f>+L451</f>
        <v>5434.0499999999993</v>
      </c>
      <c r="G451" s="294">
        <f t="shared" si="166"/>
        <v>0.93743156577506648</v>
      </c>
      <c r="H451" s="490">
        <f>+F451/C451</f>
        <v>1.200094080856533</v>
      </c>
      <c r="I451" s="290"/>
      <c r="J451" s="119">
        <f t="shared" si="176"/>
        <v>5094.0499999999993</v>
      </c>
      <c r="K451" s="290"/>
      <c r="L451" s="290">
        <f t="shared" si="173"/>
        <v>5434.0499999999993</v>
      </c>
      <c r="M451" s="354">
        <f>+J451/L451</f>
        <v>0.93743156577506648</v>
      </c>
      <c r="N451" s="353"/>
      <c r="O451" s="431"/>
      <c r="P451" s="119"/>
      <c r="Q451" s="119">
        <f>+Z451*0.8</f>
        <v>1360</v>
      </c>
      <c r="R451" s="119">
        <f>+AA451</f>
        <v>3734.0499999999997</v>
      </c>
      <c r="S451" s="119"/>
      <c r="T451" s="119"/>
      <c r="U451" s="119"/>
      <c r="V451" s="119"/>
      <c r="W451" s="356"/>
      <c r="X451" s="290"/>
      <c r="Y451" s="119"/>
      <c r="Z451" s="119">
        <v>1700</v>
      </c>
      <c r="AA451" s="119">
        <f>4393*0.85</f>
        <v>3734.0499999999997</v>
      </c>
      <c r="AB451" s="119"/>
      <c r="AC451" s="119"/>
      <c r="AD451" s="119"/>
      <c r="AE451" s="355"/>
      <c r="AF451" s="356"/>
    </row>
    <row r="452" spans="1:103" outlineLevel="1" x14ac:dyDescent="0.25">
      <c r="A452" s="352" t="s">
        <v>1110</v>
      </c>
      <c r="B452" s="475" t="s">
        <v>47</v>
      </c>
      <c r="C452" s="431"/>
      <c r="D452" s="119"/>
      <c r="E452" s="110"/>
      <c r="F452" s="119"/>
      <c r="G452" s="294"/>
      <c r="H452" s="490"/>
      <c r="I452" s="290"/>
      <c r="J452" s="119">
        <f t="shared" si="176"/>
        <v>0</v>
      </c>
      <c r="K452" s="290"/>
      <c r="L452" s="290">
        <f t="shared" si="173"/>
        <v>0</v>
      </c>
      <c r="M452" s="354"/>
      <c r="N452" s="353"/>
      <c r="O452" s="431"/>
      <c r="P452" s="119"/>
      <c r="Q452" s="119"/>
      <c r="R452" s="119"/>
      <c r="S452" s="119"/>
      <c r="T452" s="119"/>
      <c r="U452" s="119"/>
      <c r="V452" s="119"/>
      <c r="W452" s="356"/>
      <c r="X452" s="290"/>
      <c r="Y452" s="119"/>
      <c r="Z452" s="119"/>
      <c r="AA452" s="119"/>
      <c r="AB452" s="119"/>
      <c r="AC452" s="119"/>
      <c r="AD452" s="119"/>
      <c r="AE452" s="355"/>
      <c r="AF452" s="356"/>
    </row>
    <row r="453" spans="1:103" s="351" customFormat="1" ht="15.75" x14ac:dyDescent="0.25">
      <c r="A453" s="345" t="s">
        <v>356</v>
      </c>
      <c r="B453" s="474" t="s">
        <v>701</v>
      </c>
      <c r="C453" s="430">
        <f>+C454+C455</f>
        <v>2831</v>
      </c>
      <c r="D453" s="455">
        <f>+D454+D455</f>
        <v>3593.0499999999997</v>
      </c>
      <c r="E453" s="274">
        <f>+E454+E455</f>
        <v>2587.33</v>
      </c>
      <c r="F453" s="455">
        <f>+F454+F455</f>
        <v>3593.0499999999997</v>
      </c>
      <c r="G453" s="292">
        <f t="shared" si="166"/>
        <v>1</v>
      </c>
      <c r="H453" s="489">
        <f>+F453/C453</f>
        <v>1.2691805015895443</v>
      </c>
      <c r="I453" s="349"/>
      <c r="J453" s="347">
        <f>+J454+J455</f>
        <v>3593.0499999999997</v>
      </c>
      <c r="K453" s="291"/>
      <c r="L453" s="291">
        <f t="shared" si="173"/>
        <v>3593.0499999999997</v>
      </c>
      <c r="M453" s="348">
        <f>+J453/L453</f>
        <v>1</v>
      </c>
      <c r="N453" s="392"/>
      <c r="O453" s="430">
        <f>+O454+O455</f>
        <v>0</v>
      </c>
      <c r="P453" s="455">
        <f t="shared" ref="P453:AF453" si="179">SUM(P454:P455)</f>
        <v>0</v>
      </c>
      <c r="Q453" s="455">
        <f t="shared" si="179"/>
        <v>0</v>
      </c>
      <c r="R453" s="455">
        <f t="shared" si="179"/>
        <v>3593.0499999999997</v>
      </c>
      <c r="S453" s="455">
        <f t="shared" si="179"/>
        <v>0</v>
      </c>
      <c r="T453" s="455">
        <f t="shared" si="179"/>
        <v>0</v>
      </c>
      <c r="U453" s="455">
        <f t="shared" si="179"/>
        <v>0</v>
      </c>
      <c r="V453" s="455">
        <f t="shared" si="179"/>
        <v>0</v>
      </c>
      <c r="W453" s="350">
        <f t="shared" si="179"/>
        <v>0</v>
      </c>
      <c r="X453" s="349">
        <f t="shared" si="179"/>
        <v>0</v>
      </c>
      <c r="Y453" s="455">
        <f t="shared" si="179"/>
        <v>0</v>
      </c>
      <c r="Z453" s="455">
        <f t="shared" si="179"/>
        <v>0</v>
      </c>
      <c r="AA453" s="455">
        <f t="shared" si="179"/>
        <v>3593.0499999999997</v>
      </c>
      <c r="AB453" s="455">
        <f t="shared" si="179"/>
        <v>0</v>
      </c>
      <c r="AC453" s="455">
        <f t="shared" si="179"/>
        <v>0</v>
      </c>
      <c r="AD453" s="455">
        <f t="shared" si="179"/>
        <v>0</v>
      </c>
      <c r="AE453" s="455">
        <f t="shared" si="179"/>
        <v>0</v>
      </c>
      <c r="AF453" s="350">
        <f t="shared" si="179"/>
        <v>0</v>
      </c>
      <c r="AG453" s="293"/>
      <c r="AH453" s="293"/>
      <c r="AI453" s="293"/>
      <c r="AJ453" s="293"/>
      <c r="AK453" s="293"/>
      <c r="AL453" s="293"/>
      <c r="AM453" s="293"/>
      <c r="AN453" s="293"/>
      <c r="AO453" s="293"/>
      <c r="AP453" s="293"/>
      <c r="AQ453" s="293"/>
      <c r="AR453" s="293"/>
      <c r="AS453" s="293"/>
      <c r="AT453" s="293"/>
      <c r="AU453" s="293"/>
      <c r="AV453" s="293"/>
      <c r="AW453" s="293"/>
      <c r="AX453" s="293"/>
      <c r="AY453" s="293"/>
      <c r="AZ453" s="293"/>
      <c r="BA453" s="293"/>
      <c r="BB453" s="293"/>
      <c r="BC453" s="293"/>
      <c r="BD453" s="293"/>
      <c r="BE453" s="293"/>
      <c r="BF453" s="293"/>
      <c r="BG453" s="293"/>
      <c r="BH453" s="293"/>
      <c r="BI453" s="293"/>
      <c r="BJ453" s="293"/>
      <c r="BK453" s="293"/>
      <c r="BL453" s="293"/>
      <c r="BM453" s="293"/>
      <c r="BN453" s="293"/>
      <c r="BO453" s="293"/>
      <c r="BP453" s="293"/>
      <c r="BQ453" s="293"/>
      <c r="BR453" s="293"/>
      <c r="BS453" s="293"/>
      <c r="BT453" s="293"/>
      <c r="BU453" s="293"/>
      <c r="BV453" s="293"/>
      <c r="BW453" s="293"/>
      <c r="BX453" s="293"/>
      <c r="BY453" s="293"/>
      <c r="BZ453" s="293"/>
      <c r="CA453" s="293"/>
      <c r="CB453" s="293"/>
      <c r="CC453" s="293"/>
      <c r="CD453" s="293"/>
      <c r="CE453" s="293"/>
      <c r="CF453" s="293"/>
      <c r="CG453" s="293"/>
      <c r="CH453" s="293"/>
      <c r="CI453" s="293"/>
      <c r="CJ453" s="293"/>
      <c r="CK453" s="293"/>
      <c r="CL453" s="293"/>
      <c r="CM453" s="293"/>
      <c r="CN453" s="293"/>
      <c r="CO453" s="293"/>
      <c r="CP453" s="293"/>
      <c r="CQ453" s="293"/>
      <c r="CR453" s="293"/>
      <c r="CS453" s="293"/>
      <c r="CT453" s="293"/>
      <c r="CU453" s="293"/>
      <c r="CV453" s="293"/>
      <c r="CW453" s="293"/>
      <c r="CX453" s="293"/>
      <c r="CY453" s="293"/>
    </row>
    <row r="454" spans="1:103" outlineLevel="1" x14ac:dyDescent="0.25">
      <c r="A454" s="352" t="s">
        <v>357</v>
      </c>
      <c r="B454" s="475" t="s">
        <v>862</v>
      </c>
      <c r="C454" s="431">
        <v>2831</v>
      </c>
      <c r="D454" s="119">
        <f>+J454</f>
        <v>3593.0499999999997</v>
      </c>
      <c r="E454" s="110">
        <v>2587.33</v>
      </c>
      <c r="F454" s="119">
        <f>+L454</f>
        <v>3593.0499999999997</v>
      </c>
      <c r="G454" s="294">
        <f t="shared" si="166"/>
        <v>1</v>
      </c>
      <c r="H454" s="490">
        <f>+F454/C454</f>
        <v>1.2691805015895443</v>
      </c>
      <c r="I454" s="290"/>
      <c r="J454" s="119">
        <f t="shared" si="176"/>
        <v>3593.0499999999997</v>
      </c>
      <c r="K454" s="290"/>
      <c r="L454" s="290">
        <f t="shared" si="173"/>
        <v>3593.0499999999997</v>
      </c>
      <c r="M454" s="354">
        <f>+J454/L454</f>
        <v>1</v>
      </c>
      <c r="N454" s="353"/>
      <c r="O454" s="431"/>
      <c r="P454" s="119"/>
      <c r="Q454" s="119"/>
      <c r="R454" s="119">
        <f>+AA454</f>
        <v>3593.0499999999997</v>
      </c>
      <c r="S454" s="119"/>
      <c r="T454" s="119"/>
      <c r="U454" s="119"/>
      <c r="V454" s="119"/>
      <c r="W454" s="356"/>
      <c r="X454" s="290"/>
      <c r="Y454" s="119"/>
      <c r="Z454" s="119"/>
      <c r="AA454" s="119">
        <f>4393*0.85-141</f>
        <v>3593.0499999999997</v>
      </c>
      <c r="AB454" s="119"/>
      <c r="AC454" s="119"/>
      <c r="AD454" s="119"/>
      <c r="AE454" s="355"/>
      <c r="AF454" s="356"/>
    </row>
    <row r="455" spans="1:103" outlineLevel="1" x14ac:dyDescent="0.25">
      <c r="A455" s="374" t="s">
        <v>1111</v>
      </c>
      <c r="B455" s="475" t="s">
        <v>47</v>
      </c>
      <c r="C455" s="431"/>
      <c r="D455" s="119"/>
      <c r="E455" s="110"/>
      <c r="F455" s="119"/>
      <c r="G455" s="294"/>
      <c r="H455" s="490"/>
      <c r="I455" s="290"/>
      <c r="J455" s="119">
        <f t="shared" si="176"/>
        <v>0</v>
      </c>
      <c r="K455" s="290"/>
      <c r="L455" s="290">
        <f t="shared" si="173"/>
        <v>0</v>
      </c>
      <c r="M455" s="354"/>
      <c r="N455" s="353"/>
      <c r="O455" s="431"/>
      <c r="P455" s="119"/>
      <c r="Q455" s="119"/>
      <c r="R455" s="119"/>
      <c r="S455" s="119"/>
      <c r="T455" s="119"/>
      <c r="U455" s="119"/>
      <c r="V455" s="119"/>
      <c r="W455" s="356"/>
      <c r="X455" s="290"/>
      <c r="Y455" s="119"/>
      <c r="Z455" s="119"/>
      <c r="AA455" s="119"/>
      <c r="AB455" s="119"/>
      <c r="AC455" s="119"/>
      <c r="AD455" s="119"/>
      <c r="AE455" s="355"/>
      <c r="AF455" s="356"/>
    </row>
    <row r="456" spans="1:103" s="351" customFormat="1" ht="15.75" x14ac:dyDescent="0.25">
      <c r="A456" s="345" t="s">
        <v>360</v>
      </c>
      <c r="B456" s="474" t="s">
        <v>250</v>
      </c>
      <c r="C456" s="430">
        <f>+C457+C458</f>
        <v>118.58</v>
      </c>
      <c r="D456" s="455">
        <f>+D457+D458</f>
        <v>141</v>
      </c>
      <c r="E456" s="274">
        <f>+E457+E458</f>
        <v>140.72999999999999</v>
      </c>
      <c r="F456" s="455">
        <f>+F457+F458</f>
        <v>141</v>
      </c>
      <c r="G456" s="292">
        <f t="shared" si="166"/>
        <v>1</v>
      </c>
      <c r="H456" s="489">
        <f>+F456/C456</f>
        <v>1.1890706695901501</v>
      </c>
      <c r="I456" s="349"/>
      <c r="J456" s="347">
        <f>+J457+J458</f>
        <v>141</v>
      </c>
      <c r="K456" s="291"/>
      <c r="L456" s="291">
        <f t="shared" si="173"/>
        <v>141</v>
      </c>
      <c r="M456" s="348">
        <f>+J456/L456</f>
        <v>1</v>
      </c>
      <c r="N456" s="392"/>
      <c r="O456" s="430">
        <f>+O457+O458</f>
        <v>0</v>
      </c>
      <c r="P456" s="455">
        <f t="shared" ref="P456:W456" si="180">SUM(P457:P458)</f>
        <v>0</v>
      </c>
      <c r="Q456" s="455">
        <f t="shared" si="180"/>
        <v>0</v>
      </c>
      <c r="R456" s="455">
        <f t="shared" si="180"/>
        <v>141</v>
      </c>
      <c r="S456" s="455">
        <f t="shared" si="180"/>
        <v>0</v>
      </c>
      <c r="T456" s="455">
        <f t="shared" si="180"/>
        <v>0</v>
      </c>
      <c r="U456" s="455">
        <f t="shared" si="180"/>
        <v>0</v>
      </c>
      <c r="V456" s="455">
        <f t="shared" si="180"/>
        <v>0</v>
      </c>
      <c r="W456" s="350">
        <f t="shared" si="180"/>
        <v>0</v>
      </c>
      <c r="X456" s="349">
        <f>SUM(X457:X458)</f>
        <v>0</v>
      </c>
      <c r="Y456" s="349">
        <f t="shared" ref="Y456:AF456" si="181">SUM(Y457:Y458)</f>
        <v>0</v>
      </c>
      <c r="Z456" s="349">
        <f t="shared" si="181"/>
        <v>0</v>
      </c>
      <c r="AA456" s="349">
        <f t="shared" si="181"/>
        <v>141</v>
      </c>
      <c r="AB456" s="349">
        <f t="shared" si="181"/>
        <v>0</v>
      </c>
      <c r="AC456" s="349">
        <f t="shared" si="181"/>
        <v>0</v>
      </c>
      <c r="AD456" s="349">
        <f t="shared" si="181"/>
        <v>0</v>
      </c>
      <c r="AE456" s="349">
        <f t="shared" si="181"/>
        <v>0</v>
      </c>
      <c r="AF456" s="359">
        <f t="shared" si="181"/>
        <v>0</v>
      </c>
      <c r="AG456" s="293"/>
      <c r="AH456" s="293"/>
      <c r="AI456" s="293"/>
      <c r="AJ456" s="293"/>
      <c r="AK456" s="293"/>
      <c r="AL456" s="293"/>
      <c r="AM456" s="293"/>
      <c r="AN456" s="293"/>
      <c r="AO456" s="293"/>
      <c r="AP456" s="293"/>
      <c r="AQ456" s="293"/>
      <c r="AR456" s="293"/>
      <c r="AS456" s="293"/>
      <c r="AT456" s="293"/>
      <c r="AU456" s="293"/>
      <c r="AV456" s="293"/>
      <c r="AW456" s="293"/>
      <c r="AX456" s="293"/>
      <c r="AY456" s="293"/>
      <c r="AZ456" s="293"/>
      <c r="BA456" s="293"/>
      <c r="BB456" s="293"/>
      <c r="BC456" s="293"/>
      <c r="BD456" s="293"/>
      <c r="BE456" s="293"/>
      <c r="BF456" s="293"/>
      <c r="BG456" s="293"/>
      <c r="BH456" s="293"/>
      <c r="BI456" s="293"/>
      <c r="BJ456" s="293"/>
      <c r="BK456" s="293"/>
      <c r="BL456" s="293"/>
      <c r="BM456" s="293"/>
      <c r="BN456" s="293"/>
      <c r="BO456" s="293"/>
      <c r="BP456" s="293"/>
      <c r="BQ456" s="293"/>
      <c r="BR456" s="293"/>
      <c r="BS456" s="293"/>
      <c r="BT456" s="293"/>
      <c r="BU456" s="293"/>
      <c r="BV456" s="293"/>
      <c r="BW456" s="293"/>
      <c r="BX456" s="293"/>
      <c r="BY456" s="293"/>
      <c r="BZ456" s="293"/>
      <c r="CA456" s="293"/>
      <c r="CB456" s="293"/>
      <c r="CC456" s="293"/>
      <c r="CD456" s="293"/>
      <c r="CE456" s="293"/>
      <c r="CF456" s="293"/>
      <c r="CG456" s="293"/>
      <c r="CH456" s="293"/>
      <c r="CI456" s="293"/>
      <c r="CJ456" s="293"/>
      <c r="CK456" s="293"/>
      <c r="CL456" s="293"/>
      <c r="CM456" s="293"/>
      <c r="CN456" s="293"/>
      <c r="CO456" s="293"/>
      <c r="CP456" s="293"/>
      <c r="CQ456" s="293"/>
      <c r="CR456" s="293"/>
      <c r="CS456" s="293"/>
      <c r="CT456" s="293"/>
      <c r="CU456" s="293"/>
      <c r="CV456" s="293"/>
      <c r="CW456" s="293"/>
      <c r="CX456" s="293"/>
      <c r="CY456" s="293"/>
    </row>
    <row r="457" spans="1:103" outlineLevel="1" x14ac:dyDescent="0.25">
      <c r="A457" s="352" t="s">
        <v>361</v>
      </c>
      <c r="B457" s="475" t="s">
        <v>1200</v>
      </c>
      <c r="C457" s="431">
        <v>118.58</v>
      </c>
      <c r="D457" s="119">
        <f>+J457</f>
        <v>141</v>
      </c>
      <c r="E457" s="110">
        <v>140.72999999999999</v>
      </c>
      <c r="F457" s="119">
        <f>+L457</f>
        <v>141</v>
      </c>
      <c r="G457" s="294">
        <f t="shared" si="166"/>
        <v>1</v>
      </c>
      <c r="H457" s="490">
        <f>+F457/C457</f>
        <v>1.1890706695901501</v>
      </c>
      <c r="I457" s="290"/>
      <c r="J457" s="119">
        <f t="shared" si="176"/>
        <v>141</v>
      </c>
      <c r="K457" s="290"/>
      <c r="L457" s="290">
        <f t="shared" si="173"/>
        <v>141</v>
      </c>
      <c r="M457" s="354">
        <f>+J457/L457</f>
        <v>1</v>
      </c>
      <c r="N457" s="353"/>
      <c r="O457" s="431"/>
      <c r="P457" s="119"/>
      <c r="Q457" s="119"/>
      <c r="R457" s="119">
        <f>+AA457</f>
        <v>141</v>
      </c>
      <c r="S457" s="119"/>
      <c r="T457" s="119"/>
      <c r="U457" s="119"/>
      <c r="V457" s="119"/>
      <c r="W457" s="356"/>
      <c r="X457" s="290"/>
      <c r="Y457" s="119"/>
      <c r="Z457" s="119"/>
      <c r="AA457" s="119">
        <v>141</v>
      </c>
      <c r="AB457" s="119"/>
      <c r="AC457" s="119"/>
      <c r="AD457" s="119"/>
      <c r="AE457" s="355"/>
      <c r="AF457" s="356"/>
    </row>
    <row r="458" spans="1:103" outlineLevel="1" x14ac:dyDescent="0.25">
      <c r="A458" s="352" t="s">
        <v>1113</v>
      </c>
      <c r="B458" s="475" t="s">
        <v>47</v>
      </c>
      <c r="C458" s="431"/>
      <c r="D458" s="119"/>
      <c r="E458" s="110"/>
      <c r="F458" s="119"/>
      <c r="G458" s="294"/>
      <c r="H458" s="490"/>
      <c r="I458" s="290"/>
      <c r="J458" s="119">
        <f t="shared" si="176"/>
        <v>0</v>
      </c>
      <c r="K458" s="290"/>
      <c r="L458" s="290">
        <f t="shared" si="173"/>
        <v>0</v>
      </c>
      <c r="M458" s="354"/>
      <c r="N458" s="353"/>
      <c r="O458" s="431"/>
      <c r="P458" s="119"/>
      <c r="Q458" s="119"/>
      <c r="R458" s="119"/>
      <c r="S458" s="119"/>
      <c r="T458" s="119"/>
      <c r="U458" s="119"/>
      <c r="V458" s="119"/>
      <c r="W458" s="356"/>
      <c r="X458" s="290"/>
      <c r="Y458" s="119"/>
      <c r="Z458" s="119"/>
      <c r="AA458" s="119"/>
      <c r="AB458" s="119"/>
      <c r="AC458" s="119"/>
      <c r="AD458" s="119"/>
      <c r="AE458" s="355"/>
      <c r="AF458" s="356"/>
    </row>
    <row r="459" spans="1:103" s="351" customFormat="1" ht="15" customHeight="1" x14ac:dyDescent="0.25">
      <c r="A459" s="345" t="s">
        <v>1114</v>
      </c>
      <c r="B459" s="474" t="s">
        <v>495</v>
      </c>
      <c r="C459" s="430">
        <f>+C460</f>
        <v>1767</v>
      </c>
      <c r="D459" s="455">
        <f>+D460</f>
        <v>1557.8999999999999</v>
      </c>
      <c r="E459" s="274">
        <f>+E460</f>
        <v>1618</v>
      </c>
      <c r="F459" s="455">
        <f>+F460</f>
        <v>1617.8999999999999</v>
      </c>
      <c r="G459" s="292">
        <f t="shared" si="166"/>
        <v>0.96291488967179673</v>
      </c>
      <c r="H459" s="489">
        <f>+F459/C459</f>
        <v>0.91561969439728341</v>
      </c>
      <c r="I459" s="349"/>
      <c r="J459" s="347">
        <f t="shared" si="176"/>
        <v>1557.8999999999999</v>
      </c>
      <c r="K459" s="291"/>
      <c r="L459" s="291">
        <f t="shared" si="173"/>
        <v>1617.8999999999999</v>
      </c>
      <c r="M459" s="348">
        <f>+J459/L459</f>
        <v>0.96291488967179673</v>
      </c>
      <c r="N459" s="392"/>
      <c r="O459" s="430">
        <f>+O460</f>
        <v>0</v>
      </c>
      <c r="P459" s="455">
        <f t="shared" ref="P459:AF459" si="182">SUM(P460:P460)</f>
        <v>0</v>
      </c>
      <c r="Q459" s="455">
        <f t="shared" si="182"/>
        <v>240</v>
      </c>
      <c r="R459" s="455">
        <f t="shared" si="182"/>
        <v>1317.8999999999999</v>
      </c>
      <c r="S459" s="455">
        <f t="shared" si="182"/>
        <v>0</v>
      </c>
      <c r="T459" s="455">
        <f t="shared" si="182"/>
        <v>0</v>
      </c>
      <c r="U459" s="455">
        <f t="shared" si="182"/>
        <v>0</v>
      </c>
      <c r="V459" s="455">
        <f t="shared" si="182"/>
        <v>0</v>
      </c>
      <c r="W459" s="350">
        <f t="shared" si="182"/>
        <v>0</v>
      </c>
      <c r="X459" s="349">
        <f t="shared" si="182"/>
        <v>0</v>
      </c>
      <c r="Y459" s="455">
        <f t="shared" si="182"/>
        <v>0</v>
      </c>
      <c r="Z459" s="455">
        <f t="shared" si="182"/>
        <v>300</v>
      </c>
      <c r="AA459" s="455">
        <f t="shared" si="182"/>
        <v>1317.8999999999999</v>
      </c>
      <c r="AB459" s="455">
        <f t="shared" si="182"/>
        <v>0</v>
      </c>
      <c r="AC459" s="455">
        <f t="shared" si="182"/>
        <v>0</v>
      </c>
      <c r="AD459" s="455">
        <f t="shared" si="182"/>
        <v>0</v>
      </c>
      <c r="AE459" s="455">
        <f t="shared" si="182"/>
        <v>0</v>
      </c>
      <c r="AF459" s="350">
        <f t="shared" si="182"/>
        <v>0</v>
      </c>
      <c r="AG459" s="293"/>
      <c r="AH459" s="293"/>
      <c r="AI459" s="293"/>
      <c r="AJ459" s="293"/>
      <c r="AK459" s="293"/>
      <c r="AL459" s="293"/>
      <c r="AM459" s="293"/>
      <c r="AN459" s="293"/>
      <c r="AO459" s="293"/>
      <c r="AP459" s="293"/>
      <c r="AQ459" s="293"/>
      <c r="AR459" s="293"/>
      <c r="AS459" s="293"/>
      <c r="AT459" s="293"/>
      <c r="AU459" s="293"/>
      <c r="AV459" s="293"/>
      <c r="AW459" s="293"/>
      <c r="AX459" s="293"/>
      <c r="AY459" s="293"/>
      <c r="AZ459" s="293"/>
      <c r="BA459" s="293"/>
      <c r="BB459" s="293"/>
      <c r="BC459" s="293"/>
      <c r="BD459" s="293"/>
      <c r="BE459" s="293"/>
      <c r="BF459" s="293"/>
      <c r="BG459" s="293"/>
      <c r="BH459" s="293"/>
      <c r="BI459" s="293"/>
      <c r="BJ459" s="293"/>
      <c r="BK459" s="293"/>
      <c r="BL459" s="293"/>
      <c r="BM459" s="293"/>
      <c r="BN459" s="293"/>
      <c r="BO459" s="293"/>
      <c r="BP459" s="293"/>
      <c r="BQ459" s="293"/>
      <c r="BR459" s="293"/>
      <c r="BS459" s="293"/>
      <c r="BT459" s="293"/>
      <c r="BU459" s="293"/>
      <c r="BV459" s="293"/>
      <c r="BW459" s="293"/>
      <c r="BX459" s="293"/>
      <c r="BY459" s="293"/>
      <c r="BZ459" s="293"/>
      <c r="CA459" s="293"/>
      <c r="CB459" s="293"/>
      <c r="CC459" s="293"/>
      <c r="CD459" s="293"/>
      <c r="CE459" s="293"/>
      <c r="CF459" s="293"/>
      <c r="CG459" s="293"/>
      <c r="CH459" s="293"/>
      <c r="CI459" s="293"/>
      <c r="CJ459" s="293"/>
      <c r="CK459" s="293"/>
      <c r="CL459" s="293"/>
      <c r="CM459" s="293"/>
      <c r="CN459" s="293"/>
      <c r="CO459" s="293"/>
      <c r="CP459" s="293"/>
      <c r="CQ459" s="293"/>
      <c r="CR459" s="293"/>
      <c r="CS459" s="293"/>
      <c r="CT459" s="293"/>
      <c r="CU459" s="293"/>
      <c r="CV459" s="293"/>
      <c r="CW459" s="293"/>
      <c r="CX459" s="293"/>
      <c r="CY459" s="293"/>
    </row>
    <row r="460" spans="1:103" outlineLevel="1" x14ac:dyDescent="0.25">
      <c r="A460" s="352" t="s">
        <v>1115</v>
      </c>
      <c r="B460" s="475" t="s">
        <v>495</v>
      </c>
      <c r="C460" s="431">
        <v>1767</v>
      </c>
      <c r="D460" s="119">
        <f>+J460</f>
        <v>1557.8999999999999</v>
      </c>
      <c r="E460" s="110">
        <v>1618</v>
      </c>
      <c r="F460" s="119">
        <f>+L460</f>
        <v>1617.8999999999999</v>
      </c>
      <c r="G460" s="294">
        <f t="shared" si="166"/>
        <v>0.96291488967179673</v>
      </c>
      <c r="H460" s="490">
        <f>+F460/C460</f>
        <v>0.91561969439728341</v>
      </c>
      <c r="I460" s="290"/>
      <c r="J460" s="119">
        <f t="shared" si="176"/>
        <v>1557.8999999999999</v>
      </c>
      <c r="K460" s="290"/>
      <c r="L460" s="290">
        <f t="shared" si="173"/>
        <v>1617.8999999999999</v>
      </c>
      <c r="M460" s="354">
        <f>+J460/L460</f>
        <v>0.96291488967179673</v>
      </c>
      <c r="N460" s="353"/>
      <c r="O460" s="431"/>
      <c r="P460" s="119"/>
      <c r="Q460" s="119">
        <f>+Z460*0.8</f>
        <v>240</v>
      </c>
      <c r="R460" s="119">
        <f>+AA460</f>
        <v>1317.8999999999999</v>
      </c>
      <c r="S460" s="119"/>
      <c r="T460" s="119"/>
      <c r="U460" s="119"/>
      <c r="V460" s="119"/>
      <c r="W460" s="356"/>
      <c r="X460" s="290"/>
      <c r="Y460" s="119"/>
      <c r="Z460" s="119">
        <v>300</v>
      </c>
      <c r="AA460" s="119">
        <f>4393*2*0.15</f>
        <v>1317.8999999999999</v>
      </c>
      <c r="AB460" s="119"/>
      <c r="AC460" s="119"/>
      <c r="AD460" s="119"/>
      <c r="AE460" s="119"/>
      <c r="AF460" s="356"/>
    </row>
    <row r="461" spans="1:103" s="344" customFormat="1" ht="20.25" customHeight="1" x14ac:dyDescent="0.35">
      <c r="A461" s="513" t="s">
        <v>342</v>
      </c>
      <c r="B461" s="473" t="s">
        <v>308</v>
      </c>
      <c r="C461" s="429">
        <f>+C463+C468+C473+C477+C485</f>
        <v>34019.08</v>
      </c>
      <c r="D461" s="339">
        <f>+D463+D468+D473+D477+D485</f>
        <v>20613</v>
      </c>
      <c r="E461" s="501">
        <f>+E463+E468+E473+E477+E485</f>
        <v>25685.46</v>
      </c>
      <c r="F461" s="339">
        <f>+F463+F468+F473+F477+F485</f>
        <v>22613.279999999999</v>
      </c>
      <c r="G461" s="340">
        <f t="shared" si="166"/>
        <v>0.91154401307550259</v>
      </c>
      <c r="H461" s="488">
        <f>+F461/C461</f>
        <v>0.66472344343233258</v>
      </c>
      <c r="I461" s="288">
        <v>51370</v>
      </c>
      <c r="J461" s="339">
        <f t="shared" si="176"/>
        <v>20613</v>
      </c>
      <c r="K461" s="288">
        <v>2232</v>
      </c>
      <c r="L461" s="288">
        <f t="shared" si="173"/>
        <v>22613.279999999999</v>
      </c>
      <c r="M461" s="342">
        <f>+J461/L461</f>
        <v>0.91154401307550259</v>
      </c>
      <c r="N461" s="341">
        <f>+L461/I461</f>
        <v>0.44020401012263966</v>
      </c>
      <c r="O461" s="429">
        <f t="shared" ref="O461:AE461" si="183">O463+O468+O473+O477+O485</f>
        <v>1600</v>
      </c>
      <c r="P461" s="339">
        <f t="shared" si="183"/>
        <v>3000</v>
      </c>
      <c r="Q461" s="339">
        <f t="shared" si="183"/>
        <v>0</v>
      </c>
      <c r="R461" s="339">
        <f t="shared" si="183"/>
        <v>0</v>
      </c>
      <c r="S461" s="339">
        <f t="shared" si="183"/>
        <v>0</v>
      </c>
      <c r="T461" s="339">
        <f t="shared" si="183"/>
        <v>0</v>
      </c>
      <c r="U461" s="339">
        <f t="shared" si="183"/>
        <v>0</v>
      </c>
      <c r="V461" s="339">
        <f t="shared" si="183"/>
        <v>0</v>
      </c>
      <c r="W461" s="461">
        <f t="shared" si="183"/>
        <v>16013</v>
      </c>
      <c r="X461" s="288">
        <f t="shared" si="183"/>
        <v>1600</v>
      </c>
      <c r="Y461" s="288">
        <f t="shared" si="183"/>
        <v>2400</v>
      </c>
      <c r="Z461" s="288">
        <f t="shared" si="183"/>
        <v>0</v>
      </c>
      <c r="AA461" s="288">
        <f t="shared" si="183"/>
        <v>0</v>
      </c>
      <c r="AB461" s="288">
        <f t="shared" si="183"/>
        <v>0</v>
      </c>
      <c r="AC461" s="288">
        <f>+AC463+AC468+AC473+AC477+AC485</f>
        <v>0</v>
      </c>
      <c r="AD461" s="288">
        <f t="shared" si="183"/>
        <v>0</v>
      </c>
      <c r="AE461" s="288">
        <f t="shared" si="183"/>
        <v>0</v>
      </c>
      <c r="AF461" s="289">
        <f>+AF463+AF468+AF473+AF477+AF485</f>
        <v>18613.28</v>
      </c>
      <c r="AG461" s="343"/>
      <c r="AH461" s="343"/>
      <c r="AI461" s="343"/>
      <c r="AJ461" s="343"/>
      <c r="AK461" s="343"/>
      <c r="AL461" s="343"/>
      <c r="AM461" s="343"/>
      <c r="AN461" s="343"/>
      <c r="AO461" s="343"/>
      <c r="AP461" s="343"/>
      <c r="AQ461" s="343"/>
      <c r="AR461" s="343"/>
      <c r="AS461" s="343"/>
      <c r="AT461" s="343"/>
      <c r="AU461" s="343"/>
      <c r="AV461" s="343"/>
      <c r="AW461" s="343"/>
      <c r="AX461" s="343"/>
      <c r="AY461" s="343"/>
      <c r="AZ461" s="343"/>
      <c r="BA461" s="343"/>
      <c r="BB461" s="343"/>
      <c r="BC461" s="343"/>
      <c r="BD461" s="343"/>
      <c r="BE461" s="343"/>
      <c r="BF461" s="343"/>
      <c r="BG461" s="343"/>
      <c r="BH461" s="343"/>
      <c r="BI461" s="343"/>
      <c r="BJ461" s="343"/>
      <c r="BK461" s="343"/>
      <c r="BL461" s="343"/>
      <c r="BM461" s="343"/>
      <c r="BN461" s="343"/>
      <c r="BO461" s="343"/>
      <c r="BP461" s="343"/>
      <c r="BQ461" s="343"/>
      <c r="BR461" s="343"/>
      <c r="BS461" s="343"/>
      <c r="BT461" s="343"/>
      <c r="BU461" s="343"/>
      <c r="BV461" s="343"/>
      <c r="BW461" s="343"/>
      <c r="BX461" s="343"/>
      <c r="BY461" s="343"/>
      <c r="BZ461" s="343"/>
      <c r="CA461" s="343"/>
      <c r="CB461" s="343"/>
      <c r="CC461" s="343"/>
      <c r="CD461" s="343"/>
      <c r="CE461" s="343"/>
      <c r="CF461" s="343"/>
      <c r="CG461" s="343"/>
      <c r="CH461" s="343"/>
      <c r="CI461" s="343"/>
      <c r="CJ461" s="343"/>
      <c r="CK461" s="343"/>
      <c r="CL461" s="343"/>
      <c r="CM461" s="343"/>
      <c r="CN461" s="343"/>
      <c r="CO461" s="343"/>
      <c r="CP461" s="343"/>
      <c r="CQ461" s="343"/>
      <c r="CR461" s="343"/>
      <c r="CS461" s="343"/>
      <c r="CT461" s="343"/>
      <c r="CU461" s="343"/>
      <c r="CV461" s="343"/>
      <c r="CW461" s="343"/>
      <c r="CX461" s="343"/>
      <c r="CY461" s="343"/>
    </row>
    <row r="462" spans="1:103" s="344" customFormat="1" ht="20.25" customHeight="1" x14ac:dyDescent="0.35">
      <c r="A462" s="394"/>
      <c r="B462" s="479" t="s">
        <v>1343</v>
      </c>
      <c r="C462" s="434"/>
      <c r="D462" s="415"/>
      <c r="E462" s="507"/>
      <c r="F462" s="415"/>
      <c r="G462" s="416"/>
      <c r="H462" s="495"/>
      <c r="I462" s="386">
        <v>17351</v>
      </c>
      <c r="J462" s="383">
        <v>20033</v>
      </c>
      <c r="K462" s="386"/>
      <c r="L462" s="386">
        <f>+J462</f>
        <v>20033</v>
      </c>
      <c r="M462" s="395"/>
      <c r="N462" s="417"/>
      <c r="O462" s="434">
        <f>+X462*1.01</f>
        <v>0</v>
      </c>
      <c r="P462" s="415"/>
      <c r="Q462" s="415"/>
      <c r="R462" s="415"/>
      <c r="S462" s="415"/>
      <c r="T462" s="415"/>
      <c r="U462" s="415"/>
      <c r="V462" s="415"/>
      <c r="W462" s="521"/>
      <c r="X462" s="396"/>
      <c r="Y462" s="396"/>
      <c r="Z462" s="396"/>
      <c r="AA462" s="396"/>
      <c r="AB462" s="396"/>
      <c r="AC462" s="396"/>
      <c r="AD462" s="396"/>
      <c r="AE462" s="396"/>
      <c r="AF462" s="397"/>
      <c r="AG462" s="343"/>
      <c r="AH462" s="343"/>
      <c r="AI462" s="343"/>
      <c r="AJ462" s="343"/>
      <c r="AK462" s="343"/>
      <c r="AL462" s="343"/>
      <c r="AM462" s="343"/>
      <c r="AN462" s="343"/>
      <c r="AO462" s="343"/>
      <c r="AP462" s="343"/>
      <c r="AQ462" s="343"/>
      <c r="AR462" s="343"/>
      <c r="AS462" s="343"/>
      <c r="AT462" s="343"/>
      <c r="AU462" s="343"/>
      <c r="AV462" s="343"/>
      <c r="AW462" s="343"/>
      <c r="AX462" s="343"/>
      <c r="AY462" s="343"/>
      <c r="AZ462" s="343"/>
      <c r="BA462" s="343"/>
      <c r="BB462" s="343"/>
      <c r="BC462" s="343"/>
      <c r="BD462" s="343"/>
      <c r="BE462" s="343"/>
      <c r="BF462" s="343"/>
      <c r="BG462" s="343"/>
      <c r="BH462" s="343"/>
      <c r="BI462" s="343"/>
      <c r="BJ462" s="343"/>
      <c r="BK462" s="343"/>
      <c r="BL462" s="343"/>
      <c r="BM462" s="343"/>
      <c r="BN462" s="343"/>
      <c r="BO462" s="343"/>
      <c r="BP462" s="343"/>
      <c r="BQ462" s="343"/>
      <c r="BR462" s="343"/>
      <c r="BS462" s="343"/>
      <c r="BT462" s="343"/>
      <c r="BU462" s="343"/>
      <c r="BV462" s="343"/>
      <c r="BW462" s="343"/>
      <c r="BX462" s="343"/>
      <c r="BY462" s="343"/>
      <c r="BZ462" s="343"/>
      <c r="CA462" s="343"/>
      <c r="CB462" s="343"/>
      <c r="CC462" s="343"/>
      <c r="CD462" s="343"/>
      <c r="CE462" s="343"/>
      <c r="CF462" s="343"/>
      <c r="CG462" s="343"/>
      <c r="CH462" s="343"/>
      <c r="CI462" s="343"/>
      <c r="CJ462" s="343"/>
      <c r="CK462" s="343"/>
      <c r="CL462" s="343"/>
      <c r="CM462" s="343"/>
      <c r="CN462" s="343"/>
      <c r="CO462" s="343"/>
      <c r="CP462" s="343"/>
      <c r="CQ462" s="343"/>
      <c r="CR462" s="343"/>
      <c r="CS462" s="343"/>
      <c r="CT462" s="343"/>
      <c r="CU462" s="343"/>
      <c r="CV462" s="343"/>
      <c r="CW462" s="343"/>
      <c r="CX462" s="343"/>
      <c r="CY462" s="343"/>
    </row>
    <row r="463" spans="1:103" s="351" customFormat="1" ht="15.75" x14ac:dyDescent="0.25">
      <c r="A463" s="345" t="s">
        <v>362</v>
      </c>
      <c r="B463" s="474" t="s">
        <v>265</v>
      </c>
      <c r="C463" s="430">
        <f>+C464+C465+C466+C467</f>
        <v>1598.08</v>
      </c>
      <c r="D463" s="455">
        <f>+D464+D465+D466+D467</f>
        <v>1100</v>
      </c>
      <c r="E463" s="274">
        <f>+E464+E465+E466+E467</f>
        <v>1166.6300000000001</v>
      </c>
      <c r="F463" s="455">
        <f>+F464+F465+F466+F467</f>
        <v>1100</v>
      </c>
      <c r="G463" s="292">
        <f t="shared" si="166"/>
        <v>1</v>
      </c>
      <c r="H463" s="489">
        <f>+F463/C463</f>
        <v>0.68832599118942739</v>
      </c>
      <c r="I463" s="349"/>
      <c r="J463" s="347">
        <f>+J464+J465+J466+J467</f>
        <v>1100</v>
      </c>
      <c r="K463" s="291"/>
      <c r="L463" s="291">
        <f t="shared" si="173"/>
        <v>1100</v>
      </c>
      <c r="M463" s="348">
        <f>+J463/L463</f>
        <v>1</v>
      </c>
      <c r="N463" s="392"/>
      <c r="O463" s="430">
        <f>+O464+O465+O466+O467</f>
        <v>800</v>
      </c>
      <c r="P463" s="455">
        <f>SUM(P464:P467)</f>
        <v>0</v>
      </c>
      <c r="Q463" s="455">
        <f>SUM(Q464:Q467)</f>
        <v>0</v>
      </c>
      <c r="R463" s="455">
        <f>SUM(R464:R467)</f>
        <v>0</v>
      </c>
      <c r="S463" s="455">
        <f>SUM(S464:S467)</f>
        <v>0</v>
      </c>
      <c r="T463" s="455">
        <f t="shared" ref="T463:AA463" si="184">SUM(T464:T467)</f>
        <v>0</v>
      </c>
      <c r="U463" s="455">
        <f t="shared" si="184"/>
        <v>0</v>
      </c>
      <c r="V463" s="455">
        <f t="shared" si="184"/>
        <v>0</v>
      </c>
      <c r="W463" s="350">
        <f t="shared" si="184"/>
        <v>300</v>
      </c>
      <c r="X463" s="349">
        <f t="shared" si="184"/>
        <v>800</v>
      </c>
      <c r="Y463" s="455">
        <f t="shared" si="184"/>
        <v>0</v>
      </c>
      <c r="Z463" s="455">
        <f t="shared" si="184"/>
        <v>0</v>
      </c>
      <c r="AA463" s="455">
        <f t="shared" si="184"/>
        <v>0</v>
      </c>
      <c r="AB463" s="455">
        <f>SUM(AB464:AB467)</f>
        <v>0</v>
      </c>
      <c r="AC463" s="455">
        <f>SUM(AC464:AC467)</f>
        <v>0</v>
      </c>
      <c r="AD463" s="455">
        <f>SUM(AD464:AD467)</f>
        <v>0</v>
      </c>
      <c r="AE463" s="455">
        <f>SUM(AE464:AE467)</f>
        <v>0</v>
      </c>
      <c r="AF463" s="350">
        <f>SUM(AF464:AF467)</f>
        <v>300</v>
      </c>
      <c r="AG463" s="293"/>
      <c r="AH463" s="293"/>
      <c r="AI463" s="293"/>
      <c r="AJ463" s="293"/>
      <c r="AK463" s="293"/>
      <c r="AL463" s="293"/>
      <c r="AM463" s="293"/>
      <c r="AN463" s="293"/>
      <c r="AO463" s="293"/>
      <c r="AP463" s="293"/>
      <c r="AQ463" s="293"/>
      <c r="AR463" s="293"/>
      <c r="AS463" s="293"/>
      <c r="AT463" s="293"/>
      <c r="AU463" s="293"/>
      <c r="AV463" s="293"/>
      <c r="AW463" s="293"/>
      <c r="AX463" s="293"/>
      <c r="AY463" s="293"/>
      <c r="AZ463" s="293"/>
      <c r="BA463" s="293"/>
      <c r="BB463" s="293"/>
      <c r="BC463" s="293"/>
      <c r="BD463" s="293"/>
      <c r="BE463" s="293"/>
      <c r="BF463" s="293"/>
      <c r="BG463" s="293"/>
      <c r="BH463" s="293"/>
      <c r="BI463" s="293"/>
      <c r="BJ463" s="293"/>
      <c r="BK463" s="293"/>
      <c r="BL463" s="293"/>
      <c r="BM463" s="293"/>
      <c r="BN463" s="293"/>
      <c r="BO463" s="293"/>
      <c r="BP463" s="293"/>
      <c r="BQ463" s="293"/>
      <c r="BR463" s="293"/>
      <c r="BS463" s="293"/>
      <c r="BT463" s="293"/>
      <c r="BU463" s="293"/>
      <c r="BV463" s="293"/>
      <c r="BW463" s="293"/>
      <c r="BX463" s="293"/>
      <c r="BY463" s="293"/>
      <c r="BZ463" s="293"/>
      <c r="CA463" s="293"/>
      <c r="CB463" s="293"/>
      <c r="CC463" s="293"/>
      <c r="CD463" s="293"/>
      <c r="CE463" s="293"/>
      <c r="CF463" s="293"/>
      <c r="CG463" s="293"/>
      <c r="CH463" s="293"/>
      <c r="CI463" s="293"/>
      <c r="CJ463" s="293"/>
      <c r="CK463" s="293"/>
      <c r="CL463" s="293"/>
      <c r="CM463" s="293"/>
      <c r="CN463" s="293"/>
      <c r="CO463" s="293"/>
      <c r="CP463" s="293"/>
      <c r="CQ463" s="293"/>
      <c r="CR463" s="293"/>
      <c r="CS463" s="293"/>
      <c r="CT463" s="293"/>
      <c r="CU463" s="293"/>
      <c r="CV463" s="293"/>
      <c r="CW463" s="293"/>
      <c r="CX463" s="293"/>
      <c r="CY463" s="293"/>
    </row>
    <row r="464" spans="1:103" outlineLevel="1" x14ac:dyDescent="0.25">
      <c r="A464" s="358" t="s">
        <v>363</v>
      </c>
      <c r="B464" s="475" t="s">
        <v>281</v>
      </c>
      <c r="C464" s="431"/>
      <c r="D464" s="119"/>
      <c r="E464" s="110"/>
      <c r="F464" s="119">
        <f>+L464</f>
        <v>0</v>
      </c>
      <c r="G464" s="294"/>
      <c r="H464" s="490"/>
      <c r="I464" s="290"/>
      <c r="J464" s="119">
        <f t="shared" ref="J464:J527" si="185">+O464+P464+Q464+R464+S464+T464+U464+V464+W464</f>
        <v>0</v>
      </c>
      <c r="K464" s="290"/>
      <c r="L464" s="290">
        <f t="shared" si="173"/>
        <v>0</v>
      </c>
      <c r="M464" s="354"/>
      <c r="N464" s="353"/>
      <c r="O464" s="431"/>
      <c r="P464" s="119"/>
      <c r="Q464" s="119"/>
      <c r="R464" s="119"/>
      <c r="S464" s="119"/>
      <c r="T464" s="119"/>
      <c r="U464" s="119"/>
      <c r="V464" s="119"/>
      <c r="W464" s="356"/>
      <c r="X464" s="290">
        <v>0</v>
      </c>
      <c r="Y464" s="119"/>
      <c r="Z464" s="119"/>
      <c r="AA464" s="119"/>
      <c r="AB464" s="119"/>
      <c r="AC464" s="119"/>
      <c r="AD464" s="119"/>
      <c r="AE464" s="355"/>
      <c r="AF464" s="356"/>
    </row>
    <row r="465" spans="1:103" outlineLevel="1" x14ac:dyDescent="0.25">
      <c r="A465" s="352" t="s">
        <v>364</v>
      </c>
      <c r="B465" s="475" t="s">
        <v>309</v>
      </c>
      <c r="C465" s="431">
        <v>936.54</v>
      </c>
      <c r="D465" s="119">
        <f>+J465</f>
        <v>700</v>
      </c>
      <c r="E465" s="110">
        <v>642.41</v>
      </c>
      <c r="F465" s="119">
        <f>+L465</f>
        <v>700</v>
      </c>
      <c r="G465" s="294">
        <f t="shared" si="166"/>
        <v>1</v>
      </c>
      <c r="H465" s="490">
        <f t="shared" ref="H465:H471" si="186">+F465/C465</f>
        <v>0.74743203707262906</v>
      </c>
      <c r="I465" s="290"/>
      <c r="J465" s="119">
        <f t="shared" si="185"/>
        <v>700</v>
      </c>
      <c r="K465" s="290"/>
      <c r="L465" s="290">
        <f t="shared" si="173"/>
        <v>700</v>
      </c>
      <c r="M465" s="354">
        <f>+J465/L465</f>
        <v>1</v>
      </c>
      <c r="N465" s="353"/>
      <c r="O465" s="431">
        <f>+X465</f>
        <v>400</v>
      </c>
      <c r="P465" s="119"/>
      <c r="Q465" s="119"/>
      <c r="R465" s="119"/>
      <c r="S465" s="119"/>
      <c r="T465" s="119"/>
      <c r="U465" s="119"/>
      <c r="V465" s="119"/>
      <c r="W465" s="356">
        <v>300</v>
      </c>
      <c r="X465" s="290">
        <v>400</v>
      </c>
      <c r="Y465" s="119"/>
      <c r="Z465" s="119"/>
      <c r="AA465" s="119"/>
      <c r="AB465" s="119"/>
      <c r="AC465" s="119"/>
      <c r="AD465" s="119"/>
      <c r="AE465" s="355"/>
      <c r="AF465" s="356">
        <v>300</v>
      </c>
    </row>
    <row r="466" spans="1:103" outlineLevel="1" x14ac:dyDescent="0.25">
      <c r="A466" s="352" t="s">
        <v>365</v>
      </c>
      <c r="B466" s="475" t="s">
        <v>285</v>
      </c>
      <c r="C466" s="431">
        <v>321.51</v>
      </c>
      <c r="D466" s="119">
        <f>+J466</f>
        <v>400</v>
      </c>
      <c r="E466" s="110">
        <v>388.8</v>
      </c>
      <c r="F466" s="119">
        <f>+L466</f>
        <v>400</v>
      </c>
      <c r="G466" s="294">
        <f t="shared" si="166"/>
        <v>1</v>
      </c>
      <c r="H466" s="490">
        <f t="shared" si="186"/>
        <v>1.2441292650306368</v>
      </c>
      <c r="I466" s="290"/>
      <c r="J466" s="119">
        <f t="shared" si="185"/>
        <v>400</v>
      </c>
      <c r="K466" s="290"/>
      <c r="L466" s="290">
        <f t="shared" si="173"/>
        <v>400</v>
      </c>
      <c r="M466" s="354">
        <f>+J466/L466</f>
        <v>1</v>
      </c>
      <c r="N466" s="353"/>
      <c r="O466" s="431">
        <f>+X466</f>
        <v>400</v>
      </c>
      <c r="P466" s="119"/>
      <c r="Q466" s="119"/>
      <c r="R466" s="119"/>
      <c r="S466" s="119"/>
      <c r="T466" s="119"/>
      <c r="U466" s="119"/>
      <c r="V466" s="119"/>
      <c r="W466" s="356"/>
      <c r="X466" s="290">
        <v>400</v>
      </c>
      <c r="Y466" s="119"/>
      <c r="Z466" s="119"/>
      <c r="AA466" s="119"/>
      <c r="AB466" s="119"/>
      <c r="AC466" s="119"/>
      <c r="AD466" s="119"/>
      <c r="AE466" s="355"/>
      <c r="AF466" s="356"/>
    </row>
    <row r="467" spans="1:103" outlineLevel="1" x14ac:dyDescent="0.25">
      <c r="A467" s="352" t="s">
        <v>1116</v>
      </c>
      <c r="B467" s="475" t="s">
        <v>47</v>
      </c>
      <c r="C467" s="431">
        <v>340.03</v>
      </c>
      <c r="D467" s="119"/>
      <c r="E467" s="110">
        <v>135.41999999999999</v>
      </c>
      <c r="F467" s="119">
        <f>+L467</f>
        <v>0</v>
      </c>
      <c r="G467" s="294"/>
      <c r="H467" s="490">
        <f t="shared" si="186"/>
        <v>0</v>
      </c>
      <c r="I467" s="290"/>
      <c r="J467" s="119">
        <f t="shared" si="185"/>
        <v>0</v>
      </c>
      <c r="K467" s="290"/>
      <c r="L467" s="290">
        <f t="shared" si="173"/>
        <v>0</v>
      </c>
      <c r="M467" s="354"/>
      <c r="N467" s="353"/>
      <c r="O467" s="431"/>
      <c r="P467" s="119"/>
      <c r="Q467" s="119"/>
      <c r="R467" s="119"/>
      <c r="S467" s="119"/>
      <c r="T467" s="119"/>
      <c r="U467" s="119"/>
      <c r="V467" s="119"/>
      <c r="W467" s="356"/>
      <c r="X467" s="290"/>
      <c r="Y467" s="119"/>
      <c r="Z467" s="119"/>
      <c r="AA467" s="119"/>
      <c r="AB467" s="119"/>
      <c r="AC467" s="119"/>
      <c r="AD467" s="119"/>
      <c r="AE467" s="355"/>
      <c r="AF467" s="356"/>
    </row>
    <row r="468" spans="1:103" s="351" customFormat="1" ht="15.75" x14ac:dyDescent="0.25">
      <c r="A468" s="345" t="s">
        <v>367</v>
      </c>
      <c r="B468" s="474" t="s">
        <v>248</v>
      </c>
      <c r="C468" s="430">
        <f>+C469+C470+C471+C472</f>
        <v>1323.47</v>
      </c>
      <c r="D468" s="455">
        <f>+D469+D470+D471+D472</f>
        <v>6213</v>
      </c>
      <c r="E468" s="274">
        <f>+E469+E470+E471+E472</f>
        <v>6243.34</v>
      </c>
      <c r="F468" s="455">
        <f>+F469+F470+F471+F472</f>
        <v>6013.28</v>
      </c>
      <c r="G468" s="292">
        <f t="shared" si="166"/>
        <v>1.033213154883857</v>
      </c>
      <c r="H468" s="489">
        <f t="shared" si="186"/>
        <v>4.5435710669678944</v>
      </c>
      <c r="I468" s="349"/>
      <c r="J468" s="347">
        <f>+J469+J470+J471+J472</f>
        <v>6213</v>
      </c>
      <c r="K468" s="291"/>
      <c r="L468" s="291">
        <f t="shared" si="173"/>
        <v>6013.28</v>
      </c>
      <c r="M468" s="348">
        <f>+J468/L468</f>
        <v>1.033213154883857</v>
      </c>
      <c r="N468" s="392"/>
      <c r="O468" s="430">
        <f>+O469+O470+O471+O472</f>
        <v>0</v>
      </c>
      <c r="P468" s="455">
        <f t="shared" ref="P468:AF468" si="187">SUM(P469:P472)</f>
        <v>3000</v>
      </c>
      <c r="Q468" s="455">
        <f t="shared" si="187"/>
        <v>0</v>
      </c>
      <c r="R468" s="455">
        <f t="shared" si="187"/>
        <v>0</v>
      </c>
      <c r="S468" s="455">
        <f t="shared" si="187"/>
        <v>0</v>
      </c>
      <c r="T468" s="455">
        <f t="shared" si="187"/>
        <v>0</v>
      </c>
      <c r="U468" s="455">
        <f t="shared" si="187"/>
        <v>0</v>
      </c>
      <c r="V468" s="455">
        <f t="shared" si="187"/>
        <v>0</v>
      </c>
      <c r="W468" s="350">
        <f t="shared" si="187"/>
        <v>3213</v>
      </c>
      <c r="X468" s="349">
        <f t="shared" si="187"/>
        <v>0</v>
      </c>
      <c r="Y468" s="455">
        <f t="shared" si="187"/>
        <v>2400</v>
      </c>
      <c r="Z468" s="455">
        <f t="shared" si="187"/>
        <v>0</v>
      </c>
      <c r="AA468" s="455">
        <f t="shared" si="187"/>
        <v>0</v>
      </c>
      <c r="AB468" s="455">
        <f t="shared" si="187"/>
        <v>0</v>
      </c>
      <c r="AC468" s="455">
        <f t="shared" si="187"/>
        <v>0</v>
      </c>
      <c r="AD468" s="455">
        <f t="shared" si="187"/>
        <v>0</v>
      </c>
      <c r="AE468" s="455">
        <f t="shared" si="187"/>
        <v>0</v>
      </c>
      <c r="AF468" s="350">
        <f t="shared" si="187"/>
        <v>3613.2799999999997</v>
      </c>
      <c r="AG468" s="293"/>
      <c r="AH468" s="293"/>
      <c r="AI468" s="293"/>
      <c r="AJ468" s="293"/>
      <c r="AK468" s="293"/>
      <c r="AL468" s="293"/>
      <c r="AM468" s="293"/>
      <c r="AN468" s="293"/>
      <c r="AO468" s="293"/>
      <c r="AP468" s="293"/>
      <c r="AQ468" s="293"/>
      <c r="AR468" s="293"/>
      <c r="AS468" s="293"/>
      <c r="AT468" s="293"/>
      <c r="AU468" s="293"/>
      <c r="AV468" s="293"/>
      <c r="AW468" s="293"/>
      <c r="AX468" s="293"/>
      <c r="AY468" s="293"/>
      <c r="AZ468" s="293"/>
      <c r="BA468" s="293"/>
      <c r="BB468" s="293"/>
      <c r="BC468" s="293"/>
      <c r="BD468" s="293"/>
      <c r="BE468" s="293"/>
      <c r="BF468" s="293"/>
      <c r="BG468" s="293"/>
      <c r="BH468" s="293"/>
      <c r="BI468" s="293"/>
      <c r="BJ468" s="293"/>
      <c r="BK468" s="293"/>
      <c r="BL468" s="293"/>
      <c r="BM468" s="293"/>
      <c r="BN468" s="293"/>
      <c r="BO468" s="293"/>
      <c r="BP468" s="293"/>
      <c r="BQ468" s="293"/>
      <c r="BR468" s="293"/>
      <c r="BS468" s="293"/>
      <c r="BT468" s="293"/>
      <c r="BU468" s="293"/>
      <c r="BV468" s="293"/>
      <c r="BW468" s="293"/>
      <c r="BX468" s="293"/>
      <c r="BY468" s="293"/>
      <c r="BZ468" s="293"/>
      <c r="CA468" s="293"/>
      <c r="CB468" s="293"/>
      <c r="CC468" s="293"/>
      <c r="CD468" s="293"/>
      <c r="CE468" s="293"/>
      <c r="CF468" s="293"/>
      <c r="CG468" s="293"/>
      <c r="CH468" s="293"/>
      <c r="CI468" s="293"/>
      <c r="CJ468" s="293"/>
      <c r="CK468" s="293"/>
      <c r="CL468" s="293"/>
      <c r="CM468" s="293"/>
      <c r="CN468" s="293"/>
      <c r="CO468" s="293"/>
      <c r="CP468" s="293"/>
      <c r="CQ468" s="293"/>
      <c r="CR468" s="293"/>
      <c r="CS468" s="293"/>
      <c r="CT468" s="293"/>
      <c r="CU468" s="293"/>
      <c r="CV468" s="293"/>
      <c r="CW468" s="293"/>
      <c r="CX468" s="293"/>
      <c r="CY468" s="293"/>
    </row>
    <row r="469" spans="1:103" outlineLevel="1" x14ac:dyDescent="0.25">
      <c r="A469" s="352" t="s">
        <v>368</v>
      </c>
      <c r="B469" s="475" t="s">
        <v>311</v>
      </c>
      <c r="C469" s="431">
        <v>12.32</v>
      </c>
      <c r="D469" s="119">
        <f>+J469</f>
        <v>5000</v>
      </c>
      <c r="E469" s="110">
        <v>5630.06</v>
      </c>
      <c r="F469" s="119">
        <f>+L469</f>
        <v>4400</v>
      </c>
      <c r="G469" s="294">
        <f t="shared" si="166"/>
        <v>1.1363636363636365</v>
      </c>
      <c r="H469" s="490">
        <f t="shared" si="186"/>
        <v>357.14285714285711</v>
      </c>
      <c r="I469" s="290"/>
      <c r="J469" s="119">
        <f t="shared" si="185"/>
        <v>5000</v>
      </c>
      <c r="K469" s="290"/>
      <c r="L469" s="290">
        <f t="shared" si="173"/>
        <v>4400</v>
      </c>
      <c r="M469" s="354">
        <f>+J469/L469</f>
        <v>1.1363636363636365</v>
      </c>
      <c r="N469" s="353"/>
      <c r="O469" s="431"/>
      <c r="P469" s="119">
        <v>3000</v>
      </c>
      <c r="Q469" s="119"/>
      <c r="R469" s="119"/>
      <c r="S469" s="119"/>
      <c r="T469" s="119"/>
      <c r="U469" s="119"/>
      <c r="V469" s="119"/>
      <c r="W469" s="356">
        <v>2000</v>
      </c>
      <c r="X469" s="290"/>
      <c r="Y469" s="119">
        <v>1900</v>
      </c>
      <c r="Z469" s="119"/>
      <c r="AA469" s="119"/>
      <c r="AB469" s="119"/>
      <c r="AC469" s="119"/>
      <c r="AD469" s="119"/>
      <c r="AE469" s="355"/>
      <c r="AF469" s="356">
        <v>2500</v>
      </c>
    </row>
    <row r="470" spans="1:103" outlineLevel="1" x14ac:dyDescent="0.25">
      <c r="A470" s="352" t="s">
        <v>369</v>
      </c>
      <c r="B470" s="475" t="s">
        <v>890</v>
      </c>
      <c r="C470" s="431">
        <v>774.68</v>
      </c>
      <c r="D470" s="119">
        <f>+J470</f>
        <v>613</v>
      </c>
      <c r="E470" s="110">
        <v>613.28</v>
      </c>
      <c r="F470" s="119">
        <f>+L470</f>
        <v>613.28</v>
      </c>
      <c r="G470" s="294">
        <f t="shared" si="166"/>
        <v>0.99954343855987482</v>
      </c>
      <c r="H470" s="490">
        <f t="shared" si="186"/>
        <v>0.79165590953684106</v>
      </c>
      <c r="I470" s="290"/>
      <c r="J470" s="119">
        <f t="shared" si="185"/>
        <v>613</v>
      </c>
      <c r="K470" s="290"/>
      <c r="L470" s="290">
        <f t="shared" si="173"/>
        <v>613.28</v>
      </c>
      <c r="M470" s="354">
        <f>+J470/L470</f>
        <v>0.99954343855987482</v>
      </c>
      <c r="N470" s="353"/>
      <c r="O470" s="431"/>
      <c r="P470" s="119"/>
      <c r="Q470" s="119"/>
      <c r="R470" s="119"/>
      <c r="S470" s="119"/>
      <c r="T470" s="119"/>
      <c r="U470" s="119"/>
      <c r="V470" s="119"/>
      <c r="W470" s="356">
        <v>613</v>
      </c>
      <c r="X470" s="290"/>
      <c r="Y470" s="119"/>
      <c r="Z470" s="119"/>
      <c r="AA470" s="119"/>
      <c r="AB470" s="119"/>
      <c r="AC470" s="119"/>
      <c r="AD470" s="119"/>
      <c r="AE470" s="355"/>
      <c r="AF470" s="356">
        <v>613.28</v>
      </c>
    </row>
    <row r="471" spans="1:103" outlineLevel="1" x14ac:dyDescent="0.25">
      <c r="A471" s="352" t="s">
        <v>370</v>
      </c>
      <c r="B471" s="475" t="s">
        <v>536</v>
      </c>
      <c r="C471" s="431">
        <v>536.47</v>
      </c>
      <c r="D471" s="119">
        <f>+J471</f>
        <v>600</v>
      </c>
      <c r="E471" s="110"/>
      <c r="F471" s="119">
        <f>+L471</f>
        <v>1000</v>
      </c>
      <c r="G471" s="294">
        <f t="shared" si="166"/>
        <v>0.6</v>
      </c>
      <c r="H471" s="490">
        <f t="shared" si="186"/>
        <v>1.8640371316196618</v>
      </c>
      <c r="I471" s="290"/>
      <c r="J471" s="119">
        <f t="shared" si="185"/>
        <v>600</v>
      </c>
      <c r="K471" s="290"/>
      <c r="L471" s="290">
        <f t="shared" si="173"/>
        <v>1000</v>
      </c>
      <c r="M471" s="354">
        <f>+J471/L471</f>
        <v>0.6</v>
      </c>
      <c r="N471" s="353"/>
      <c r="O471" s="431"/>
      <c r="P471" s="119"/>
      <c r="Q471" s="119"/>
      <c r="R471" s="119"/>
      <c r="S471" s="119"/>
      <c r="T471" s="119"/>
      <c r="U471" s="119"/>
      <c r="V471" s="119"/>
      <c r="W471" s="356">
        <v>600</v>
      </c>
      <c r="X471" s="290"/>
      <c r="Y471" s="119">
        <v>500</v>
      </c>
      <c r="Z471" s="119"/>
      <c r="AA471" s="119"/>
      <c r="AB471" s="119"/>
      <c r="AC471" s="119"/>
      <c r="AD471" s="119"/>
      <c r="AE471" s="355"/>
      <c r="AF471" s="356">
        <v>500</v>
      </c>
    </row>
    <row r="472" spans="1:103" outlineLevel="1" x14ac:dyDescent="0.25">
      <c r="A472" s="352" t="s">
        <v>1117</v>
      </c>
      <c r="B472" s="475" t="s">
        <v>47</v>
      </c>
      <c r="C472" s="431"/>
      <c r="D472" s="119">
        <f>+J472</f>
        <v>0</v>
      </c>
      <c r="E472" s="110"/>
      <c r="F472" s="119">
        <f>+L472</f>
        <v>0</v>
      </c>
      <c r="G472" s="294"/>
      <c r="H472" s="490"/>
      <c r="I472" s="290"/>
      <c r="J472" s="119">
        <f t="shared" si="185"/>
        <v>0</v>
      </c>
      <c r="K472" s="290"/>
      <c r="L472" s="290">
        <f t="shared" si="173"/>
        <v>0</v>
      </c>
      <c r="M472" s="354"/>
      <c r="N472" s="353"/>
      <c r="O472" s="431"/>
      <c r="P472" s="119"/>
      <c r="Q472" s="119"/>
      <c r="R472" s="119"/>
      <c r="S472" s="119"/>
      <c r="T472" s="119"/>
      <c r="U472" s="119"/>
      <c r="V472" s="119"/>
      <c r="W472" s="356"/>
      <c r="X472" s="290"/>
      <c r="Y472" s="119"/>
      <c r="Z472" s="119"/>
      <c r="AA472" s="119"/>
      <c r="AB472" s="119"/>
      <c r="AC472" s="119"/>
      <c r="AD472" s="119"/>
      <c r="AE472" s="355"/>
      <c r="AF472" s="356"/>
    </row>
    <row r="473" spans="1:103" s="351" customFormat="1" ht="15.75" x14ac:dyDescent="0.25">
      <c r="A473" s="345" t="s">
        <v>371</v>
      </c>
      <c r="B473" s="474" t="s">
        <v>888</v>
      </c>
      <c r="C473" s="430">
        <f>+C474+C475+C476</f>
        <v>9388.880000000001</v>
      </c>
      <c r="D473" s="455">
        <f>+D474+D475+D476</f>
        <v>7000</v>
      </c>
      <c r="E473" s="274">
        <f>+E474+E475+E476</f>
        <v>8412.69</v>
      </c>
      <c r="F473" s="455">
        <f>+F474+F475+F476</f>
        <v>6800</v>
      </c>
      <c r="G473" s="292">
        <f t="shared" si="166"/>
        <v>1.0294117647058822</v>
      </c>
      <c r="H473" s="489">
        <f t="shared" ref="H473:H479" si="188">+F473/C473</f>
        <v>0.72426104072051189</v>
      </c>
      <c r="I473" s="349"/>
      <c r="J473" s="347">
        <f>+J474+J475+J476</f>
        <v>7000</v>
      </c>
      <c r="K473" s="291"/>
      <c r="L473" s="291">
        <f t="shared" si="173"/>
        <v>6800</v>
      </c>
      <c r="M473" s="348">
        <f t="shared" ref="M473:M483" si="189">+J473/L473</f>
        <v>1.0294117647058822</v>
      </c>
      <c r="N473" s="392"/>
      <c r="O473" s="430">
        <f>+O474+O475+O476</f>
        <v>800</v>
      </c>
      <c r="P473" s="455">
        <f t="shared" ref="P473:AF473" si="190">SUM(P474:P476)</f>
        <v>0</v>
      </c>
      <c r="Q473" s="455">
        <f t="shared" si="190"/>
        <v>0</v>
      </c>
      <c r="R473" s="455">
        <f t="shared" si="190"/>
        <v>0</v>
      </c>
      <c r="S473" s="455">
        <f t="shared" si="190"/>
        <v>0</v>
      </c>
      <c r="T473" s="455">
        <f t="shared" si="190"/>
        <v>0</v>
      </c>
      <c r="U473" s="455">
        <f t="shared" si="190"/>
        <v>0</v>
      </c>
      <c r="V473" s="455">
        <f t="shared" si="190"/>
        <v>0</v>
      </c>
      <c r="W473" s="350">
        <f t="shared" si="190"/>
        <v>6200</v>
      </c>
      <c r="X473" s="349">
        <f t="shared" si="190"/>
        <v>800</v>
      </c>
      <c r="Y473" s="455">
        <f t="shared" si="190"/>
        <v>0</v>
      </c>
      <c r="Z473" s="455">
        <f t="shared" si="190"/>
        <v>0</v>
      </c>
      <c r="AA473" s="455">
        <f t="shared" si="190"/>
        <v>0</v>
      </c>
      <c r="AB473" s="455">
        <f t="shared" si="190"/>
        <v>0</v>
      </c>
      <c r="AC473" s="455">
        <f t="shared" si="190"/>
        <v>0</v>
      </c>
      <c r="AD473" s="455">
        <f t="shared" si="190"/>
        <v>0</v>
      </c>
      <c r="AE473" s="455">
        <f t="shared" si="190"/>
        <v>0</v>
      </c>
      <c r="AF473" s="350">
        <f t="shared" si="190"/>
        <v>6000</v>
      </c>
      <c r="AG473" s="293"/>
      <c r="AH473" s="293"/>
      <c r="AI473" s="293"/>
      <c r="AJ473" s="293"/>
      <c r="AK473" s="293"/>
      <c r="AL473" s="293"/>
      <c r="AM473" s="293"/>
      <c r="AN473" s="293"/>
      <c r="AO473" s="293"/>
      <c r="AP473" s="293"/>
      <c r="AQ473" s="293"/>
      <c r="AR473" s="293"/>
      <c r="AS473" s="293"/>
      <c r="AT473" s="293"/>
      <c r="AU473" s="293"/>
      <c r="AV473" s="293"/>
      <c r="AW473" s="293"/>
      <c r="AX473" s="293"/>
      <c r="AY473" s="293"/>
      <c r="AZ473" s="293"/>
      <c r="BA473" s="293"/>
      <c r="BB473" s="293"/>
      <c r="BC473" s="293"/>
      <c r="BD473" s="293"/>
      <c r="BE473" s="293"/>
      <c r="BF473" s="293"/>
      <c r="BG473" s="293"/>
      <c r="BH473" s="293"/>
      <c r="BI473" s="293"/>
      <c r="BJ473" s="293"/>
      <c r="BK473" s="293"/>
      <c r="BL473" s="293"/>
      <c r="BM473" s="293"/>
      <c r="BN473" s="293"/>
      <c r="BO473" s="293"/>
      <c r="BP473" s="293"/>
      <c r="BQ473" s="293"/>
      <c r="BR473" s="293"/>
      <c r="BS473" s="293"/>
      <c r="BT473" s="293"/>
      <c r="BU473" s="293"/>
      <c r="BV473" s="293"/>
      <c r="BW473" s="293"/>
      <c r="BX473" s="293"/>
      <c r="BY473" s="293"/>
      <c r="BZ473" s="293"/>
      <c r="CA473" s="293"/>
      <c r="CB473" s="293"/>
      <c r="CC473" s="293"/>
      <c r="CD473" s="293"/>
      <c r="CE473" s="293"/>
      <c r="CF473" s="293"/>
      <c r="CG473" s="293"/>
      <c r="CH473" s="293"/>
      <c r="CI473" s="293"/>
      <c r="CJ473" s="293"/>
      <c r="CK473" s="293"/>
      <c r="CL473" s="293"/>
      <c r="CM473" s="293"/>
      <c r="CN473" s="293"/>
      <c r="CO473" s="293"/>
      <c r="CP473" s="293"/>
      <c r="CQ473" s="293"/>
      <c r="CR473" s="293"/>
      <c r="CS473" s="293"/>
      <c r="CT473" s="293"/>
      <c r="CU473" s="293"/>
      <c r="CV473" s="293"/>
      <c r="CW473" s="293"/>
      <c r="CX473" s="293"/>
      <c r="CY473" s="293"/>
    </row>
    <row r="474" spans="1:103" outlineLevel="1" x14ac:dyDescent="0.25">
      <c r="A474" s="352" t="s">
        <v>372</v>
      </c>
      <c r="B474" s="475" t="s">
        <v>148</v>
      </c>
      <c r="C474" s="431">
        <v>4945.29</v>
      </c>
      <c r="D474" s="119">
        <f>+J474</f>
        <v>5200</v>
      </c>
      <c r="E474" s="110">
        <v>7842.88</v>
      </c>
      <c r="F474" s="119">
        <f>+L474</f>
        <v>3300</v>
      </c>
      <c r="G474" s="294">
        <f t="shared" si="166"/>
        <v>1.5757575757575757</v>
      </c>
      <c r="H474" s="490">
        <f t="shared" si="188"/>
        <v>0.66730161426326873</v>
      </c>
      <c r="I474" s="290"/>
      <c r="J474" s="119">
        <f t="shared" si="185"/>
        <v>5200</v>
      </c>
      <c r="K474" s="290"/>
      <c r="L474" s="290">
        <f t="shared" si="173"/>
        <v>3300</v>
      </c>
      <c r="M474" s="354">
        <f t="shared" si="189"/>
        <v>1.5757575757575757</v>
      </c>
      <c r="N474" s="353"/>
      <c r="O474" s="431">
        <f>+X474</f>
        <v>800</v>
      </c>
      <c r="P474" s="119"/>
      <c r="Q474" s="119"/>
      <c r="R474" s="119"/>
      <c r="S474" s="119"/>
      <c r="T474" s="119"/>
      <c r="U474" s="119"/>
      <c r="V474" s="119"/>
      <c r="W474" s="356">
        <v>4400</v>
      </c>
      <c r="X474" s="290">
        <v>800</v>
      </c>
      <c r="Y474" s="119"/>
      <c r="Z474" s="119"/>
      <c r="AA474" s="119"/>
      <c r="AB474" s="119"/>
      <c r="AC474" s="119"/>
      <c r="AD474" s="119"/>
      <c r="AE474" s="355"/>
      <c r="AF474" s="356">
        <f>3200-700</f>
        <v>2500</v>
      </c>
    </row>
    <row r="475" spans="1:103" outlineLevel="1" x14ac:dyDescent="0.25">
      <c r="A475" s="374" t="s">
        <v>373</v>
      </c>
      <c r="B475" s="475" t="s">
        <v>149</v>
      </c>
      <c r="C475" s="431">
        <v>1881.3</v>
      </c>
      <c r="D475" s="119">
        <f>+J475</f>
        <v>800</v>
      </c>
      <c r="E475" s="110">
        <v>107.3</v>
      </c>
      <c r="F475" s="119">
        <f>+L475</f>
        <v>1000</v>
      </c>
      <c r="G475" s="294">
        <f t="shared" si="166"/>
        <v>0.8</v>
      </c>
      <c r="H475" s="490">
        <f t="shared" si="188"/>
        <v>0.53154733429011858</v>
      </c>
      <c r="I475" s="290"/>
      <c r="J475" s="119">
        <f t="shared" si="185"/>
        <v>800</v>
      </c>
      <c r="K475" s="290"/>
      <c r="L475" s="290">
        <f t="shared" si="173"/>
        <v>1000</v>
      </c>
      <c r="M475" s="354">
        <f t="shared" si="189"/>
        <v>0.8</v>
      </c>
      <c r="N475" s="353"/>
      <c r="O475" s="431"/>
      <c r="P475" s="119"/>
      <c r="Q475" s="119"/>
      <c r="R475" s="119"/>
      <c r="S475" s="119"/>
      <c r="T475" s="119"/>
      <c r="U475" s="119"/>
      <c r="V475" s="119"/>
      <c r="W475" s="356">
        <v>800</v>
      </c>
      <c r="X475" s="290"/>
      <c r="Y475" s="119"/>
      <c r="Z475" s="119"/>
      <c r="AA475" s="119"/>
      <c r="AB475" s="119"/>
      <c r="AC475" s="119"/>
      <c r="AD475" s="119"/>
      <c r="AE475" s="355"/>
      <c r="AF475" s="356">
        <f>1500-500</f>
        <v>1000</v>
      </c>
    </row>
    <row r="476" spans="1:103" outlineLevel="1" x14ac:dyDescent="0.25">
      <c r="A476" s="352" t="s">
        <v>858</v>
      </c>
      <c r="B476" s="475" t="s">
        <v>889</v>
      </c>
      <c r="C476" s="431">
        <v>2562.29</v>
      </c>
      <c r="D476" s="119">
        <f>+J476</f>
        <v>1000</v>
      </c>
      <c r="E476" s="110">
        <v>462.51</v>
      </c>
      <c r="F476" s="119">
        <f>+L476</f>
        <v>2500</v>
      </c>
      <c r="G476" s="294">
        <f t="shared" si="166"/>
        <v>0.4</v>
      </c>
      <c r="H476" s="490">
        <f t="shared" si="188"/>
        <v>0.97568971505957558</v>
      </c>
      <c r="I476" s="290"/>
      <c r="J476" s="119">
        <f t="shared" si="185"/>
        <v>1000</v>
      </c>
      <c r="K476" s="290"/>
      <c r="L476" s="290">
        <f t="shared" si="173"/>
        <v>2500</v>
      </c>
      <c r="M476" s="354">
        <f t="shared" si="189"/>
        <v>0.4</v>
      </c>
      <c r="N476" s="353"/>
      <c r="O476" s="431"/>
      <c r="P476" s="119"/>
      <c r="Q476" s="119"/>
      <c r="R476" s="119"/>
      <c r="S476" s="119"/>
      <c r="T476" s="119"/>
      <c r="U476" s="119"/>
      <c r="V476" s="119"/>
      <c r="W476" s="356">
        <v>1000</v>
      </c>
      <c r="X476" s="290"/>
      <c r="Y476" s="119"/>
      <c r="Z476" s="119"/>
      <c r="AA476" s="119"/>
      <c r="AB476" s="119"/>
      <c r="AC476" s="119"/>
      <c r="AD476" s="119"/>
      <c r="AE476" s="355"/>
      <c r="AF476" s="356">
        <v>2500</v>
      </c>
    </row>
    <row r="477" spans="1:103" s="351" customFormat="1" ht="15.75" x14ac:dyDescent="0.25">
      <c r="A477" s="345" t="s">
        <v>374</v>
      </c>
      <c r="B477" s="474" t="s">
        <v>250</v>
      </c>
      <c r="C477" s="430">
        <f>SUM(C478:C484)</f>
        <v>18708.650000000001</v>
      </c>
      <c r="D477" s="455">
        <f>SUM(D478:D484)</f>
        <v>3300</v>
      </c>
      <c r="E477" s="274">
        <f>SUM(E478:E484)</f>
        <v>6862.8</v>
      </c>
      <c r="F477" s="455">
        <f>SUM(F478:F484)</f>
        <v>5700</v>
      </c>
      <c r="G477" s="292">
        <f t="shared" si="166"/>
        <v>0.57894736842105265</v>
      </c>
      <c r="H477" s="489">
        <f t="shared" si="188"/>
        <v>0.30467190310364456</v>
      </c>
      <c r="I477" s="349"/>
      <c r="J477" s="347">
        <f>+J478+J479+J480+J481+J482+J483+J484</f>
        <v>3300</v>
      </c>
      <c r="K477" s="291"/>
      <c r="L477" s="291">
        <f t="shared" si="173"/>
        <v>5700</v>
      </c>
      <c r="M477" s="348">
        <f t="shared" si="189"/>
        <v>0.57894736842105265</v>
      </c>
      <c r="N477" s="392"/>
      <c r="O477" s="430">
        <f>+O478+O479+O481+O480+O482+O483+O484</f>
        <v>0</v>
      </c>
      <c r="P477" s="455">
        <f t="shared" ref="P477:W477" si="191">SUM(P478:P484)</f>
        <v>0</v>
      </c>
      <c r="Q477" s="455">
        <f t="shared" si="191"/>
        <v>0</v>
      </c>
      <c r="R477" s="455">
        <f t="shared" si="191"/>
        <v>0</v>
      </c>
      <c r="S477" s="455">
        <f t="shared" si="191"/>
        <v>0</v>
      </c>
      <c r="T477" s="455">
        <f t="shared" si="191"/>
        <v>0</v>
      </c>
      <c r="U477" s="455">
        <f t="shared" si="191"/>
        <v>0</v>
      </c>
      <c r="V477" s="455">
        <f t="shared" si="191"/>
        <v>0</v>
      </c>
      <c r="W477" s="350">
        <f t="shared" si="191"/>
        <v>3300</v>
      </c>
      <c r="X477" s="349">
        <f>SUM(X478:X484)</f>
        <v>0</v>
      </c>
      <c r="Y477" s="349">
        <f t="shared" ref="Y477:AF477" si="192">SUM(Y478:Y484)</f>
        <v>0</v>
      </c>
      <c r="Z477" s="349">
        <f t="shared" si="192"/>
        <v>0</v>
      </c>
      <c r="AA477" s="349">
        <f t="shared" si="192"/>
        <v>0</v>
      </c>
      <c r="AB477" s="349">
        <f t="shared" si="192"/>
        <v>0</v>
      </c>
      <c r="AC477" s="349">
        <f t="shared" si="192"/>
        <v>0</v>
      </c>
      <c r="AD477" s="349">
        <f t="shared" si="192"/>
        <v>0</v>
      </c>
      <c r="AE477" s="349">
        <f t="shared" si="192"/>
        <v>0</v>
      </c>
      <c r="AF477" s="359">
        <f t="shared" si="192"/>
        <v>5700</v>
      </c>
      <c r="AG477" s="293"/>
      <c r="AH477" s="293"/>
      <c r="AI477" s="293"/>
      <c r="AJ477" s="293"/>
      <c r="AK477" s="293"/>
      <c r="AL477" s="293"/>
      <c r="AM477" s="293"/>
      <c r="AN477" s="293"/>
      <c r="AO477" s="293"/>
      <c r="AP477" s="293"/>
      <c r="AQ477" s="293"/>
      <c r="AR477" s="293"/>
      <c r="AS477" s="293"/>
      <c r="AT477" s="293"/>
      <c r="AU477" s="293"/>
      <c r="AV477" s="293"/>
      <c r="AW477" s="293"/>
      <c r="AX477" s="293"/>
      <c r="AY477" s="293"/>
      <c r="AZ477" s="293"/>
      <c r="BA477" s="293"/>
      <c r="BB477" s="293"/>
      <c r="BC477" s="293"/>
      <c r="BD477" s="293"/>
      <c r="BE477" s="293"/>
      <c r="BF477" s="293"/>
      <c r="BG477" s="293"/>
      <c r="BH477" s="293"/>
      <c r="BI477" s="293"/>
      <c r="BJ477" s="293"/>
      <c r="BK477" s="293"/>
      <c r="BL477" s="293"/>
      <c r="BM477" s="293"/>
      <c r="BN477" s="293"/>
      <c r="BO477" s="293"/>
      <c r="BP477" s="293"/>
      <c r="BQ477" s="293"/>
      <c r="BR477" s="293"/>
      <c r="BS477" s="293"/>
      <c r="BT477" s="293"/>
      <c r="BU477" s="293"/>
      <c r="BV477" s="293"/>
      <c r="BW477" s="293"/>
      <c r="BX477" s="293"/>
      <c r="BY477" s="293"/>
      <c r="BZ477" s="293"/>
      <c r="CA477" s="293"/>
      <c r="CB477" s="293"/>
      <c r="CC477" s="293"/>
      <c r="CD477" s="293"/>
      <c r="CE477" s="293"/>
      <c r="CF477" s="293"/>
      <c r="CG477" s="293"/>
      <c r="CH477" s="293"/>
      <c r="CI477" s="293"/>
      <c r="CJ477" s="293"/>
      <c r="CK477" s="293"/>
      <c r="CL477" s="293"/>
      <c r="CM477" s="293"/>
      <c r="CN477" s="293"/>
      <c r="CO477" s="293"/>
      <c r="CP477" s="293"/>
      <c r="CQ477" s="293"/>
      <c r="CR477" s="293"/>
      <c r="CS477" s="293"/>
      <c r="CT477" s="293"/>
      <c r="CU477" s="293"/>
      <c r="CV477" s="293"/>
      <c r="CW477" s="293"/>
      <c r="CX477" s="293"/>
      <c r="CY477" s="293"/>
    </row>
    <row r="478" spans="1:103" outlineLevel="1" x14ac:dyDescent="0.25">
      <c r="A478" s="352" t="s">
        <v>375</v>
      </c>
      <c r="B478" s="475" t="s">
        <v>855</v>
      </c>
      <c r="C478" s="431">
        <v>111.34</v>
      </c>
      <c r="D478" s="119">
        <f>+J478</f>
        <v>600</v>
      </c>
      <c r="E478" s="110">
        <v>359.55</v>
      </c>
      <c r="F478" s="119">
        <f t="shared" ref="F478:F484" si="193">+L478</f>
        <v>1000</v>
      </c>
      <c r="G478" s="294">
        <f t="shared" si="166"/>
        <v>0.6</v>
      </c>
      <c r="H478" s="490">
        <f t="shared" si="188"/>
        <v>8.9814981138853955</v>
      </c>
      <c r="I478" s="290"/>
      <c r="J478" s="119">
        <f t="shared" si="185"/>
        <v>600</v>
      </c>
      <c r="K478" s="290"/>
      <c r="L478" s="290">
        <f t="shared" si="173"/>
        <v>1000</v>
      </c>
      <c r="M478" s="354">
        <f t="shared" si="189"/>
        <v>0.6</v>
      </c>
      <c r="N478" s="353"/>
      <c r="O478" s="431"/>
      <c r="P478" s="119"/>
      <c r="Q478" s="119"/>
      <c r="R478" s="119"/>
      <c r="S478" s="119"/>
      <c r="T478" s="119"/>
      <c r="U478" s="119"/>
      <c r="V478" s="119"/>
      <c r="W478" s="356">
        <v>600</v>
      </c>
      <c r="X478" s="290"/>
      <c r="Y478" s="119"/>
      <c r="Z478" s="119"/>
      <c r="AA478" s="119"/>
      <c r="AB478" s="119"/>
      <c r="AC478" s="119"/>
      <c r="AD478" s="119"/>
      <c r="AE478" s="355"/>
      <c r="AF478" s="356">
        <v>1000</v>
      </c>
    </row>
    <row r="479" spans="1:103" outlineLevel="1" x14ac:dyDescent="0.25">
      <c r="A479" s="352" t="s">
        <v>376</v>
      </c>
      <c r="B479" s="475" t="s">
        <v>699</v>
      </c>
      <c r="C479" s="431">
        <v>3700.98</v>
      </c>
      <c r="D479" s="119">
        <f t="shared" ref="D479:D484" si="194">+J479</f>
        <v>0</v>
      </c>
      <c r="E479" s="110">
        <v>73.78</v>
      </c>
      <c r="F479" s="119">
        <f t="shared" si="193"/>
        <v>500</v>
      </c>
      <c r="G479" s="294">
        <f t="shared" si="166"/>
        <v>0</v>
      </c>
      <c r="H479" s="490">
        <f t="shared" si="188"/>
        <v>0.13509935206350751</v>
      </c>
      <c r="I479" s="290"/>
      <c r="J479" s="119">
        <f t="shared" si="185"/>
        <v>0</v>
      </c>
      <c r="K479" s="290"/>
      <c r="L479" s="290">
        <f t="shared" si="173"/>
        <v>500</v>
      </c>
      <c r="M479" s="354">
        <f t="shared" si="189"/>
        <v>0</v>
      </c>
      <c r="N479" s="353"/>
      <c r="O479" s="431"/>
      <c r="P479" s="119"/>
      <c r="Q479" s="119"/>
      <c r="R479" s="119"/>
      <c r="S479" s="119"/>
      <c r="T479" s="119"/>
      <c r="U479" s="119"/>
      <c r="V479" s="119"/>
      <c r="W479" s="356"/>
      <c r="X479" s="290"/>
      <c r="Y479" s="119"/>
      <c r="Z479" s="119"/>
      <c r="AA479" s="119"/>
      <c r="AB479" s="119"/>
      <c r="AC479" s="119"/>
      <c r="AD479" s="119"/>
      <c r="AE479" s="355"/>
      <c r="AF479" s="356">
        <v>500</v>
      </c>
    </row>
    <row r="480" spans="1:103" outlineLevel="1" x14ac:dyDescent="0.25">
      <c r="A480" s="352" t="s">
        <v>377</v>
      </c>
      <c r="B480" s="475" t="s">
        <v>892</v>
      </c>
      <c r="C480" s="431"/>
      <c r="D480" s="119">
        <f t="shared" si="194"/>
        <v>700</v>
      </c>
      <c r="E480" s="110">
        <v>474.54</v>
      </c>
      <c r="F480" s="119">
        <f t="shared" si="193"/>
        <v>1500</v>
      </c>
      <c r="G480" s="294">
        <f t="shared" si="166"/>
        <v>0.46666666666666667</v>
      </c>
      <c r="H480" s="490"/>
      <c r="I480" s="290"/>
      <c r="J480" s="119">
        <f t="shared" si="185"/>
        <v>700</v>
      </c>
      <c r="K480" s="290"/>
      <c r="L480" s="290">
        <f t="shared" si="173"/>
        <v>1500</v>
      </c>
      <c r="M480" s="354">
        <f t="shared" si="189"/>
        <v>0.46666666666666667</v>
      </c>
      <c r="N480" s="353"/>
      <c r="O480" s="431"/>
      <c r="P480" s="119"/>
      <c r="Q480" s="119"/>
      <c r="R480" s="119"/>
      <c r="S480" s="119"/>
      <c r="T480" s="119"/>
      <c r="U480" s="119"/>
      <c r="V480" s="119"/>
      <c r="W480" s="356">
        <v>700</v>
      </c>
      <c r="X480" s="290"/>
      <c r="Y480" s="119"/>
      <c r="Z480" s="119"/>
      <c r="AA480" s="119"/>
      <c r="AB480" s="119"/>
      <c r="AC480" s="119"/>
      <c r="AD480" s="119"/>
      <c r="AE480" s="355"/>
      <c r="AF480" s="356">
        <v>1500</v>
      </c>
    </row>
    <row r="481" spans="1:103" outlineLevel="1" x14ac:dyDescent="0.25">
      <c r="A481" s="352" t="s">
        <v>378</v>
      </c>
      <c r="B481" s="475" t="s">
        <v>981</v>
      </c>
      <c r="C481" s="431">
        <v>6343.3</v>
      </c>
      <c r="D481" s="119">
        <f t="shared" si="194"/>
        <v>0</v>
      </c>
      <c r="E481" s="110">
        <v>2830.4</v>
      </c>
      <c r="F481" s="119">
        <f t="shared" si="193"/>
        <v>700</v>
      </c>
      <c r="G481" s="294">
        <f t="shared" ref="G481:G544" si="195">+D481/F481</f>
        <v>0</v>
      </c>
      <c r="H481" s="490">
        <f>+F481/C481</f>
        <v>0.11035265555783268</v>
      </c>
      <c r="I481" s="290"/>
      <c r="J481" s="119">
        <f t="shared" si="185"/>
        <v>0</v>
      </c>
      <c r="K481" s="290"/>
      <c r="L481" s="290">
        <f t="shared" si="173"/>
        <v>700</v>
      </c>
      <c r="M481" s="354">
        <f t="shared" si="189"/>
        <v>0</v>
      </c>
      <c r="N481" s="353"/>
      <c r="O481" s="431"/>
      <c r="P481" s="119"/>
      <c r="Q481" s="119"/>
      <c r="R481" s="119"/>
      <c r="S481" s="119"/>
      <c r="T481" s="119"/>
      <c r="U481" s="119"/>
      <c r="V481" s="119"/>
      <c r="W481" s="356"/>
      <c r="X481" s="290"/>
      <c r="Y481" s="119"/>
      <c r="Z481" s="119"/>
      <c r="AA481" s="119"/>
      <c r="AB481" s="119"/>
      <c r="AC481" s="119"/>
      <c r="AD481" s="119"/>
      <c r="AE481" s="355"/>
      <c r="AF481" s="356">
        <v>700</v>
      </c>
    </row>
    <row r="482" spans="1:103" outlineLevel="1" x14ac:dyDescent="0.25">
      <c r="A482" s="352" t="s">
        <v>860</v>
      </c>
      <c r="B482" s="475" t="s">
        <v>1119</v>
      </c>
      <c r="C482" s="431">
        <v>5606.51</v>
      </c>
      <c r="D482" s="119">
        <f t="shared" si="194"/>
        <v>2000</v>
      </c>
      <c r="E482" s="110">
        <v>1396.43</v>
      </c>
      <c r="F482" s="119">
        <f t="shared" si="193"/>
        <v>1500</v>
      </c>
      <c r="G482" s="294">
        <f t="shared" si="195"/>
        <v>1.3333333333333333</v>
      </c>
      <c r="H482" s="490">
        <f>+F482/C482</f>
        <v>0.26754612049207083</v>
      </c>
      <c r="I482" s="290"/>
      <c r="J482" s="119">
        <f t="shared" si="185"/>
        <v>2000</v>
      </c>
      <c r="K482" s="290"/>
      <c r="L482" s="290">
        <f t="shared" si="173"/>
        <v>1500</v>
      </c>
      <c r="M482" s="354">
        <f t="shared" si="189"/>
        <v>1.3333333333333333</v>
      </c>
      <c r="N482" s="353"/>
      <c r="O482" s="431"/>
      <c r="P482" s="119"/>
      <c r="Q482" s="119"/>
      <c r="R482" s="119"/>
      <c r="S482" s="119"/>
      <c r="T482" s="119"/>
      <c r="U482" s="119"/>
      <c r="V482" s="119"/>
      <c r="W482" s="356">
        <v>2000</v>
      </c>
      <c r="X482" s="290"/>
      <c r="Y482" s="119"/>
      <c r="Z482" s="119"/>
      <c r="AA482" s="119"/>
      <c r="AB482" s="119"/>
      <c r="AC482" s="119"/>
      <c r="AD482" s="119"/>
      <c r="AE482" s="355"/>
      <c r="AF482" s="356">
        <v>1500</v>
      </c>
    </row>
    <row r="483" spans="1:103" outlineLevel="1" x14ac:dyDescent="0.25">
      <c r="A483" s="352" t="s">
        <v>1311</v>
      </c>
      <c r="B483" s="475" t="s">
        <v>1312</v>
      </c>
      <c r="C483" s="431"/>
      <c r="D483" s="119">
        <f t="shared" si="194"/>
        <v>0</v>
      </c>
      <c r="E483" s="110">
        <f>25+172.88+163+23.61</f>
        <v>384.49</v>
      </c>
      <c r="F483" s="119">
        <f t="shared" si="193"/>
        <v>500</v>
      </c>
      <c r="G483" s="294">
        <f t="shared" si="195"/>
        <v>0</v>
      </c>
      <c r="H483" s="490"/>
      <c r="I483" s="290"/>
      <c r="J483" s="119">
        <f t="shared" si="185"/>
        <v>0</v>
      </c>
      <c r="K483" s="290"/>
      <c r="L483" s="290">
        <f t="shared" si="173"/>
        <v>500</v>
      </c>
      <c r="M483" s="354">
        <f t="shared" si="189"/>
        <v>0</v>
      </c>
      <c r="N483" s="353"/>
      <c r="O483" s="431"/>
      <c r="P483" s="119"/>
      <c r="Q483" s="119"/>
      <c r="R483" s="119"/>
      <c r="S483" s="119"/>
      <c r="T483" s="119"/>
      <c r="U483" s="119"/>
      <c r="V483" s="119"/>
      <c r="W483" s="356"/>
      <c r="X483" s="290"/>
      <c r="Y483" s="119"/>
      <c r="Z483" s="119"/>
      <c r="AA483" s="119"/>
      <c r="AB483" s="119"/>
      <c r="AC483" s="119"/>
      <c r="AD483" s="119"/>
      <c r="AE483" s="355"/>
      <c r="AF483" s="356">
        <v>500</v>
      </c>
    </row>
    <row r="484" spans="1:103" outlineLevel="1" x14ac:dyDescent="0.25">
      <c r="A484" s="352" t="s">
        <v>1118</v>
      </c>
      <c r="B484" s="475" t="s">
        <v>47</v>
      </c>
      <c r="C484" s="431">
        <v>2946.52</v>
      </c>
      <c r="D484" s="119">
        <f t="shared" si="194"/>
        <v>0</v>
      </c>
      <c r="E484" s="110">
        <v>1343.61</v>
      </c>
      <c r="F484" s="119">
        <f t="shared" si="193"/>
        <v>0</v>
      </c>
      <c r="G484" s="294"/>
      <c r="H484" s="490">
        <f>+F484/C484</f>
        <v>0</v>
      </c>
      <c r="I484" s="290"/>
      <c r="J484" s="119">
        <f t="shared" si="185"/>
        <v>0</v>
      </c>
      <c r="K484" s="290"/>
      <c r="L484" s="290">
        <f t="shared" si="173"/>
        <v>0</v>
      </c>
      <c r="M484" s="354"/>
      <c r="N484" s="353"/>
      <c r="O484" s="431"/>
      <c r="P484" s="119"/>
      <c r="Q484" s="119"/>
      <c r="R484" s="119"/>
      <c r="S484" s="119"/>
      <c r="T484" s="119"/>
      <c r="U484" s="119"/>
      <c r="V484" s="119"/>
      <c r="W484" s="356"/>
      <c r="X484" s="290"/>
      <c r="Y484" s="119"/>
      <c r="Z484" s="119"/>
      <c r="AA484" s="119"/>
      <c r="AB484" s="119"/>
      <c r="AC484" s="119"/>
      <c r="AD484" s="119"/>
      <c r="AE484" s="355"/>
      <c r="AF484" s="356"/>
    </row>
    <row r="485" spans="1:103" s="351" customFormat="1" ht="15.75" x14ac:dyDescent="0.25">
      <c r="A485" s="345" t="s">
        <v>379</v>
      </c>
      <c r="B485" s="474" t="s">
        <v>495</v>
      </c>
      <c r="C485" s="430">
        <f>+C486</f>
        <v>3000</v>
      </c>
      <c r="D485" s="455">
        <f>+D486</f>
        <v>3000</v>
      </c>
      <c r="E485" s="274">
        <f>+E486</f>
        <v>3000</v>
      </c>
      <c r="F485" s="455">
        <f>+F486</f>
        <v>3000</v>
      </c>
      <c r="G485" s="292">
        <f t="shared" si="195"/>
        <v>1</v>
      </c>
      <c r="H485" s="489">
        <f>+F485/C485</f>
        <v>1</v>
      </c>
      <c r="I485" s="349"/>
      <c r="J485" s="347">
        <f t="shared" si="185"/>
        <v>3000</v>
      </c>
      <c r="K485" s="291"/>
      <c r="L485" s="291">
        <f t="shared" si="173"/>
        <v>3000</v>
      </c>
      <c r="M485" s="348">
        <f>+J485/L485</f>
        <v>1</v>
      </c>
      <c r="N485" s="392"/>
      <c r="O485" s="430">
        <f>+O486</f>
        <v>0</v>
      </c>
      <c r="P485" s="455">
        <f>SUM(P486:P486)</f>
        <v>0</v>
      </c>
      <c r="Q485" s="455">
        <f>SUM(Q486:Q486)</f>
        <v>0</v>
      </c>
      <c r="R485" s="455">
        <f>SUM(R486:R486)</f>
        <v>0</v>
      </c>
      <c r="S485" s="455"/>
      <c r="T485" s="455">
        <f t="shared" ref="T485:AA485" si="196">SUM(T486:T486)</f>
        <v>0</v>
      </c>
      <c r="U485" s="455">
        <f t="shared" si="196"/>
        <v>0</v>
      </c>
      <c r="V485" s="455">
        <f t="shared" si="196"/>
        <v>0</v>
      </c>
      <c r="W485" s="350">
        <f t="shared" si="196"/>
        <v>3000</v>
      </c>
      <c r="X485" s="349">
        <f t="shared" si="196"/>
        <v>0</v>
      </c>
      <c r="Y485" s="455">
        <f t="shared" si="196"/>
        <v>0</v>
      </c>
      <c r="Z485" s="455">
        <f t="shared" si="196"/>
        <v>0</v>
      </c>
      <c r="AA485" s="455">
        <f t="shared" si="196"/>
        <v>0</v>
      </c>
      <c r="AB485" s="455"/>
      <c r="AC485" s="455">
        <f>SUM(AC486:AC486)</f>
        <v>0</v>
      </c>
      <c r="AD485" s="455">
        <f>SUM(AD486:AD486)</f>
        <v>0</v>
      </c>
      <c r="AE485" s="455">
        <f>SUM(AE486:AE486)</f>
        <v>0</v>
      </c>
      <c r="AF485" s="350">
        <f>SUM(AF486:AF486)</f>
        <v>3000</v>
      </c>
      <c r="AG485" s="293"/>
      <c r="AH485" s="293"/>
      <c r="AI485" s="293"/>
      <c r="AJ485" s="293"/>
      <c r="AK485" s="293"/>
      <c r="AL485" s="293"/>
      <c r="AM485" s="293"/>
      <c r="AN485" s="293"/>
      <c r="AO485" s="293"/>
      <c r="AP485" s="293"/>
      <c r="AQ485" s="293"/>
      <c r="AR485" s="293"/>
      <c r="AS485" s="293"/>
      <c r="AT485" s="293"/>
      <c r="AU485" s="293"/>
      <c r="AV485" s="293"/>
      <c r="AW485" s="293"/>
      <c r="AX485" s="293"/>
      <c r="AY485" s="293"/>
      <c r="AZ485" s="293"/>
      <c r="BA485" s="293"/>
      <c r="BB485" s="293"/>
      <c r="BC485" s="293"/>
      <c r="BD485" s="293"/>
      <c r="BE485" s="293"/>
      <c r="BF485" s="293"/>
      <c r="BG485" s="293"/>
      <c r="BH485" s="293"/>
      <c r="BI485" s="293"/>
      <c r="BJ485" s="293"/>
      <c r="BK485" s="293"/>
      <c r="BL485" s="293"/>
      <c r="BM485" s="293"/>
      <c r="BN485" s="293"/>
      <c r="BO485" s="293"/>
      <c r="BP485" s="293"/>
      <c r="BQ485" s="293"/>
      <c r="BR485" s="293"/>
      <c r="BS485" s="293"/>
      <c r="BT485" s="293"/>
      <c r="BU485" s="293"/>
      <c r="BV485" s="293"/>
      <c r="BW485" s="293"/>
      <c r="BX485" s="293"/>
      <c r="BY485" s="293"/>
      <c r="BZ485" s="293"/>
      <c r="CA485" s="293"/>
      <c r="CB485" s="293"/>
      <c r="CC485" s="293"/>
      <c r="CD485" s="293"/>
      <c r="CE485" s="293"/>
      <c r="CF485" s="293"/>
      <c r="CG485" s="293"/>
      <c r="CH485" s="293"/>
      <c r="CI485" s="293"/>
      <c r="CJ485" s="293"/>
      <c r="CK485" s="293"/>
      <c r="CL485" s="293"/>
      <c r="CM485" s="293"/>
      <c r="CN485" s="293"/>
      <c r="CO485" s="293"/>
      <c r="CP485" s="293"/>
      <c r="CQ485" s="293"/>
      <c r="CR485" s="293"/>
      <c r="CS485" s="293"/>
      <c r="CT485" s="293"/>
      <c r="CU485" s="293"/>
      <c r="CV485" s="293"/>
      <c r="CW485" s="293"/>
      <c r="CX485" s="293"/>
      <c r="CY485" s="293"/>
    </row>
    <row r="486" spans="1:103" outlineLevel="1" x14ac:dyDescent="0.25">
      <c r="A486" s="352" t="s">
        <v>380</v>
      </c>
      <c r="B486" s="475" t="s">
        <v>495</v>
      </c>
      <c r="C486" s="431">
        <v>3000</v>
      </c>
      <c r="D486" s="119">
        <f>+J486</f>
        <v>3000</v>
      </c>
      <c r="E486" s="110">
        <v>3000</v>
      </c>
      <c r="F486" s="119">
        <f>+L486</f>
        <v>3000</v>
      </c>
      <c r="G486" s="294">
        <f t="shared" si="195"/>
        <v>1</v>
      </c>
      <c r="H486" s="490">
        <f>+F486/C486</f>
        <v>1</v>
      </c>
      <c r="I486" s="290"/>
      <c r="J486" s="119">
        <f t="shared" si="185"/>
        <v>3000</v>
      </c>
      <c r="K486" s="290"/>
      <c r="L486" s="290">
        <f t="shared" si="173"/>
        <v>3000</v>
      </c>
      <c r="M486" s="354">
        <f>+J486/L486</f>
        <v>1</v>
      </c>
      <c r="N486" s="353"/>
      <c r="O486" s="431"/>
      <c r="P486" s="119"/>
      <c r="Q486" s="119"/>
      <c r="R486" s="119"/>
      <c r="S486" s="119"/>
      <c r="T486" s="119"/>
      <c r="U486" s="119"/>
      <c r="V486" s="119"/>
      <c r="W486" s="356">
        <v>3000</v>
      </c>
      <c r="X486" s="290"/>
      <c r="Y486" s="119"/>
      <c r="Z486" s="119"/>
      <c r="AA486" s="119"/>
      <c r="AB486" s="119"/>
      <c r="AC486" s="119"/>
      <c r="AD486" s="119"/>
      <c r="AE486" s="355"/>
      <c r="AF486" s="356">
        <v>3000</v>
      </c>
    </row>
    <row r="487" spans="1:103" ht="15" hidden="1" customHeight="1" outlineLevel="1" x14ac:dyDescent="0.25">
      <c r="A487" s="352"/>
      <c r="B487" s="475"/>
      <c r="C487" s="431"/>
      <c r="D487" s="119"/>
      <c r="E487" s="110"/>
      <c r="F487" s="119"/>
      <c r="G487" s="294" t="e">
        <f t="shared" si="195"/>
        <v>#DIV/0!</v>
      </c>
      <c r="H487" s="490" t="e">
        <f>+F487/C487</f>
        <v>#DIV/0!</v>
      </c>
      <c r="I487" s="290">
        <f>+X487+Y487+Z487+AA487+AB487+AC487+AD487+AE487+AF487</f>
        <v>0</v>
      </c>
      <c r="J487" s="119"/>
      <c r="K487" s="290"/>
      <c r="L487" s="290">
        <f t="shared" si="173"/>
        <v>0</v>
      </c>
      <c r="M487" s="354" t="e">
        <f>+J487/L487</f>
        <v>#DIV/0!</v>
      </c>
      <c r="N487" s="353" t="e">
        <f>+L487/I487</f>
        <v>#DIV/0!</v>
      </c>
      <c r="O487" s="431">
        <f>+X487*1.01</f>
        <v>0</v>
      </c>
      <c r="P487" s="119"/>
      <c r="Q487" s="119"/>
      <c r="R487" s="119"/>
      <c r="S487" s="119"/>
      <c r="T487" s="119"/>
      <c r="U487" s="119"/>
      <c r="V487" s="119"/>
      <c r="W487" s="356"/>
      <c r="X487" s="290"/>
      <c r="Y487" s="290"/>
      <c r="Z487" s="290"/>
      <c r="AA487" s="290"/>
      <c r="AB487" s="290"/>
      <c r="AC487" s="290"/>
      <c r="AD487" s="290"/>
      <c r="AE487" s="364"/>
      <c r="AF487" s="362"/>
    </row>
    <row r="488" spans="1:103" s="344" customFormat="1" ht="21" collapsed="1" x14ac:dyDescent="0.35">
      <c r="A488" s="513" t="s">
        <v>393</v>
      </c>
      <c r="B488" s="473" t="s">
        <v>343</v>
      </c>
      <c r="C488" s="429">
        <f>+C490+C495+C507+C513+C526+C531</f>
        <v>60151.89</v>
      </c>
      <c r="D488" s="339">
        <f>+D490+D495+D507+D513+D526+D531</f>
        <v>44190</v>
      </c>
      <c r="E488" s="501">
        <f>+E490+E495+E507+E513+E526+E531</f>
        <v>49221.33</v>
      </c>
      <c r="F488" s="339">
        <f>+F490+F495+F507+F513+F526+F531</f>
        <v>51546</v>
      </c>
      <c r="G488" s="340">
        <f t="shared" si="195"/>
        <v>0.85729251542311724</v>
      </c>
      <c r="H488" s="488">
        <f>+F488/C488</f>
        <v>0.85693067998362149</v>
      </c>
      <c r="I488" s="288">
        <v>62691</v>
      </c>
      <c r="J488" s="339">
        <f t="shared" si="185"/>
        <v>44190</v>
      </c>
      <c r="K488" s="288">
        <v>48170.76</v>
      </c>
      <c r="L488" s="288">
        <f t="shared" si="173"/>
        <v>51546</v>
      </c>
      <c r="M488" s="342">
        <f>+J488/L488</f>
        <v>0.85729251542311724</v>
      </c>
      <c r="N488" s="341">
        <f>+L488/I488</f>
        <v>0.82222328563908698</v>
      </c>
      <c r="O488" s="429">
        <f t="shared" ref="O488:W488" si="197">O490+O507+O495+O513+O526+O531</f>
        <v>2344</v>
      </c>
      <c r="P488" s="339">
        <f t="shared" si="197"/>
        <v>11350</v>
      </c>
      <c r="Q488" s="339">
        <f t="shared" si="197"/>
        <v>15200</v>
      </c>
      <c r="R488" s="339">
        <f t="shared" si="197"/>
        <v>0</v>
      </c>
      <c r="S488" s="339">
        <f t="shared" si="197"/>
        <v>14919</v>
      </c>
      <c r="T488" s="339">
        <f t="shared" si="197"/>
        <v>0</v>
      </c>
      <c r="U488" s="339">
        <f t="shared" si="197"/>
        <v>0</v>
      </c>
      <c r="V488" s="339">
        <f t="shared" si="197"/>
        <v>0</v>
      </c>
      <c r="W488" s="461">
        <f t="shared" si="197"/>
        <v>377</v>
      </c>
      <c r="X488" s="288">
        <f>X490+X507+X495+X513+X526+X531</f>
        <v>4744</v>
      </c>
      <c r="Y488" s="288">
        <f>Y490+Y507+Y495+Y513+Y526+Y531</f>
        <v>12506</v>
      </c>
      <c r="Z488" s="288">
        <f>Z490+Z507+Z495+Z513+Z526+Z531</f>
        <v>19000</v>
      </c>
      <c r="AA488" s="288">
        <f>AA490+AA507+AA495+AA513+AA526+AA531</f>
        <v>0</v>
      </c>
      <c r="AB488" s="288">
        <f>AB490+AB507+AB495+AB513+AB526+AB531</f>
        <v>14919</v>
      </c>
      <c r="AC488" s="288">
        <f>+AC490+AC495+AC507+AC513+AC526+AC531</f>
        <v>0</v>
      </c>
      <c r="AD488" s="288">
        <f>+AD490+AD495+AD507+AD513+AD526+AD531</f>
        <v>0</v>
      </c>
      <c r="AE488" s="288">
        <f>+AE490+AE495+AE507+AE513+AE526+AE531</f>
        <v>0</v>
      </c>
      <c r="AF488" s="289">
        <f>+AF490+AF495+AF507+AF513+AF526+AF531</f>
        <v>377</v>
      </c>
      <c r="AG488" s="343"/>
      <c r="AH488" s="343"/>
      <c r="AI488" s="343"/>
      <c r="AJ488" s="343"/>
      <c r="AK488" s="343"/>
      <c r="AL488" s="343"/>
      <c r="AM488" s="343"/>
      <c r="AN488" s="343"/>
      <c r="AO488" s="343"/>
      <c r="AP488" s="343"/>
      <c r="AQ488" s="343"/>
      <c r="AR488" s="343"/>
      <c r="AS488" s="343"/>
      <c r="AT488" s="343"/>
      <c r="AU488" s="343"/>
      <c r="AV488" s="343"/>
      <c r="AW488" s="343"/>
      <c r="AX488" s="343"/>
      <c r="AY488" s="343"/>
      <c r="AZ488" s="343"/>
      <c r="BA488" s="343"/>
      <c r="BB488" s="343"/>
      <c r="BC488" s="343"/>
      <c r="BD488" s="343"/>
      <c r="BE488" s="343"/>
      <c r="BF488" s="343"/>
      <c r="BG488" s="343"/>
      <c r="BH488" s="343"/>
      <c r="BI488" s="343"/>
      <c r="BJ488" s="343"/>
      <c r="BK488" s="343"/>
      <c r="BL488" s="343"/>
      <c r="BM488" s="343"/>
      <c r="BN488" s="343"/>
      <c r="BO488" s="343"/>
      <c r="BP488" s="343"/>
      <c r="BQ488" s="343"/>
      <c r="BR488" s="343"/>
      <c r="BS488" s="343"/>
      <c r="BT488" s="343"/>
      <c r="BU488" s="343"/>
      <c r="BV488" s="343"/>
      <c r="BW488" s="343"/>
      <c r="BX488" s="343"/>
      <c r="BY488" s="343"/>
      <c r="BZ488" s="343"/>
      <c r="CA488" s="343"/>
      <c r="CB488" s="343"/>
      <c r="CC488" s="343"/>
      <c r="CD488" s="343"/>
      <c r="CE488" s="343"/>
      <c r="CF488" s="343"/>
      <c r="CG488" s="343"/>
      <c r="CH488" s="343"/>
      <c r="CI488" s="343"/>
      <c r="CJ488" s="343"/>
      <c r="CK488" s="343"/>
      <c r="CL488" s="343"/>
      <c r="CM488" s="343"/>
      <c r="CN488" s="343"/>
      <c r="CO488" s="343"/>
      <c r="CP488" s="343"/>
      <c r="CQ488" s="343"/>
      <c r="CR488" s="343"/>
      <c r="CS488" s="343"/>
      <c r="CT488" s="343"/>
      <c r="CU488" s="343"/>
      <c r="CV488" s="343"/>
      <c r="CW488" s="343"/>
      <c r="CX488" s="343"/>
      <c r="CY488" s="343"/>
    </row>
    <row r="489" spans="1:103" s="344" customFormat="1" ht="21" x14ac:dyDescent="0.35">
      <c r="A489" s="394"/>
      <c r="B489" s="479" t="s">
        <v>1343</v>
      </c>
      <c r="C489" s="434"/>
      <c r="D489" s="415"/>
      <c r="E489" s="507"/>
      <c r="F489" s="415"/>
      <c r="G489" s="416"/>
      <c r="H489" s="495"/>
      <c r="I489" s="386">
        <v>2539</v>
      </c>
      <c r="J489" s="383">
        <v>13421</v>
      </c>
      <c r="K489" s="386"/>
      <c r="L489" s="386">
        <f>+J489</f>
        <v>13421</v>
      </c>
      <c r="M489" s="395"/>
      <c r="N489" s="417"/>
      <c r="O489" s="434">
        <f>+X489*1.01</f>
        <v>0</v>
      </c>
      <c r="P489" s="415"/>
      <c r="Q489" s="415"/>
      <c r="R489" s="415"/>
      <c r="S489" s="415"/>
      <c r="T489" s="415"/>
      <c r="U489" s="415"/>
      <c r="V489" s="415"/>
      <c r="W489" s="521"/>
      <c r="X489" s="396"/>
      <c r="Y489" s="396"/>
      <c r="Z489" s="396"/>
      <c r="AA489" s="396"/>
      <c r="AB489" s="396"/>
      <c r="AC489" s="396"/>
      <c r="AD489" s="396"/>
      <c r="AE489" s="396"/>
      <c r="AF489" s="397"/>
      <c r="AG489" s="343"/>
      <c r="AH489" s="343"/>
      <c r="AI489" s="343"/>
      <c r="AJ489" s="343"/>
      <c r="AK489" s="343"/>
      <c r="AL489" s="343"/>
      <c r="AM489" s="343"/>
      <c r="AN489" s="343"/>
      <c r="AO489" s="343"/>
      <c r="AP489" s="343"/>
      <c r="AQ489" s="343"/>
      <c r="AR489" s="343"/>
      <c r="AS489" s="343"/>
      <c r="AT489" s="343"/>
      <c r="AU489" s="343"/>
      <c r="AV489" s="343"/>
      <c r="AW489" s="343"/>
      <c r="AX489" s="343"/>
      <c r="AY489" s="343"/>
      <c r="AZ489" s="343"/>
      <c r="BA489" s="343"/>
      <c r="BB489" s="343"/>
      <c r="BC489" s="343"/>
      <c r="BD489" s="343"/>
      <c r="BE489" s="343"/>
      <c r="BF489" s="343"/>
      <c r="BG489" s="343"/>
      <c r="BH489" s="343"/>
      <c r="BI489" s="343"/>
      <c r="BJ489" s="343"/>
      <c r="BK489" s="343"/>
      <c r="BL489" s="343"/>
      <c r="BM489" s="343"/>
      <c r="BN489" s="343"/>
      <c r="BO489" s="343"/>
      <c r="BP489" s="343"/>
      <c r="BQ489" s="343"/>
      <c r="BR489" s="343"/>
      <c r="BS489" s="343"/>
      <c r="BT489" s="343"/>
      <c r="BU489" s="343"/>
      <c r="BV489" s="343"/>
      <c r="BW489" s="343"/>
      <c r="BX489" s="343"/>
      <c r="BY489" s="343"/>
      <c r="BZ489" s="343"/>
      <c r="CA489" s="343"/>
      <c r="CB489" s="343"/>
      <c r="CC489" s="343"/>
      <c r="CD489" s="343"/>
      <c r="CE489" s="343"/>
      <c r="CF489" s="343"/>
      <c r="CG489" s="343"/>
      <c r="CH489" s="343"/>
      <c r="CI489" s="343"/>
      <c r="CJ489" s="343"/>
      <c r="CK489" s="343"/>
      <c r="CL489" s="343"/>
      <c r="CM489" s="343"/>
      <c r="CN489" s="343"/>
      <c r="CO489" s="343"/>
      <c r="CP489" s="343"/>
      <c r="CQ489" s="343"/>
      <c r="CR489" s="343"/>
      <c r="CS489" s="343"/>
      <c r="CT489" s="343"/>
      <c r="CU489" s="343"/>
      <c r="CV489" s="343"/>
      <c r="CW489" s="343"/>
      <c r="CX489" s="343"/>
      <c r="CY489" s="343"/>
    </row>
    <row r="490" spans="1:103" s="351" customFormat="1" ht="15.75" x14ac:dyDescent="0.25">
      <c r="A490" s="345" t="s">
        <v>394</v>
      </c>
      <c r="B490" s="474" t="s">
        <v>265</v>
      </c>
      <c r="C490" s="430">
        <f>+C491+C492+C493+C494</f>
        <v>1214.68</v>
      </c>
      <c r="D490" s="455">
        <f>+D491+D492+D493+D494</f>
        <v>1000</v>
      </c>
      <c r="E490" s="274">
        <f>+E491+E492+E493+E494</f>
        <v>967.30000000000007</v>
      </c>
      <c r="F490" s="455">
        <f>+F491+F492+F493+F494</f>
        <v>1000</v>
      </c>
      <c r="G490" s="292">
        <f t="shared" si="195"/>
        <v>1</v>
      </c>
      <c r="H490" s="489">
        <f t="shared" ref="H490:H496" si="198">+F490/C490</f>
        <v>0.82326209372015668</v>
      </c>
      <c r="I490" s="349"/>
      <c r="J490" s="347">
        <f>+J491+J492+J493+J494</f>
        <v>1000</v>
      </c>
      <c r="K490" s="291"/>
      <c r="L490" s="291">
        <f t="shared" si="173"/>
        <v>1000</v>
      </c>
      <c r="M490" s="348">
        <f>+J490/L490</f>
        <v>1</v>
      </c>
      <c r="N490" s="392"/>
      <c r="O490" s="430">
        <f>+O491+O492+O493+O494</f>
        <v>1000</v>
      </c>
      <c r="P490" s="455"/>
      <c r="Q490" s="455"/>
      <c r="R490" s="455"/>
      <c r="S490" s="455">
        <f>+S491+S492+S493+S494</f>
        <v>0</v>
      </c>
      <c r="T490" s="455"/>
      <c r="U490" s="455"/>
      <c r="V490" s="455">
        <f>SUM(V491:V494)</f>
        <v>0</v>
      </c>
      <c r="W490" s="350">
        <f>SUM(W491:W494)</f>
        <v>0</v>
      </c>
      <c r="X490" s="349">
        <f>SUM(X491:X494)</f>
        <v>1000</v>
      </c>
      <c r="Y490" s="455"/>
      <c r="Z490" s="455"/>
      <c r="AA490" s="455"/>
      <c r="AB490" s="455">
        <f>+AB491+AB492+AB493+AB494</f>
        <v>0</v>
      </c>
      <c r="AC490" s="455"/>
      <c r="AD490" s="455"/>
      <c r="AE490" s="455">
        <f>SUM(AE491:AE494)</f>
        <v>0</v>
      </c>
      <c r="AF490" s="350">
        <f>SUM(AF491:AF494)</f>
        <v>0</v>
      </c>
      <c r="AG490" s="293"/>
      <c r="AH490" s="293"/>
      <c r="AI490" s="293"/>
      <c r="AJ490" s="293"/>
      <c r="AK490" s="293"/>
      <c r="AL490" s="293"/>
      <c r="AM490" s="293"/>
      <c r="AN490" s="293"/>
      <c r="AO490" s="293"/>
      <c r="AP490" s="293"/>
      <c r="AQ490" s="293"/>
      <c r="AR490" s="293"/>
      <c r="AS490" s="293"/>
      <c r="AT490" s="293"/>
      <c r="AU490" s="293"/>
      <c r="AV490" s="293"/>
      <c r="AW490" s="293"/>
      <c r="AX490" s="293"/>
      <c r="AY490" s="293"/>
      <c r="AZ490" s="293"/>
      <c r="BA490" s="293"/>
      <c r="BB490" s="293"/>
      <c r="BC490" s="293"/>
      <c r="BD490" s="293"/>
      <c r="BE490" s="293"/>
      <c r="BF490" s="293"/>
      <c r="BG490" s="293"/>
      <c r="BH490" s="293"/>
      <c r="BI490" s="293"/>
      <c r="BJ490" s="293"/>
      <c r="BK490" s="293"/>
      <c r="BL490" s="293"/>
      <c r="BM490" s="293"/>
      <c r="BN490" s="293"/>
      <c r="BO490" s="293"/>
      <c r="BP490" s="293"/>
      <c r="BQ490" s="293"/>
      <c r="BR490" s="293"/>
      <c r="BS490" s="293"/>
      <c r="BT490" s="293"/>
      <c r="BU490" s="293"/>
      <c r="BV490" s="293"/>
      <c r="BW490" s="293"/>
      <c r="BX490" s="293"/>
      <c r="BY490" s="293"/>
      <c r="BZ490" s="293"/>
      <c r="CA490" s="293"/>
      <c r="CB490" s="293"/>
      <c r="CC490" s="293"/>
      <c r="CD490" s="293"/>
      <c r="CE490" s="293"/>
      <c r="CF490" s="293"/>
      <c r="CG490" s="293"/>
      <c r="CH490" s="293"/>
      <c r="CI490" s="293"/>
      <c r="CJ490" s="293"/>
      <c r="CK490" s="293"/>
      <c r="CL490" s="293"/>
      <c r="CM490" s="293"/>
      <c r="CN490" s="293"/>
      <c r="CO490" s="293"/>
      <c r="CP490" s="293"/>
      <c r="CQ490" s="293"/>
      <c r="CR490" s="293"/>
      <c r="CS490" s="293"/>
      <c r="CT490" s="293"/>
      <c r="CU490" s="293"/>
      <c r="CV490" s="293"/>
      <c r="CW490" s="293"/>
      <c r="CX490" s="293"/>
      <c r="CY490" s="293"/>
    </row>
    <row r="491" spans="1:103" outlineLevel="1" x14ac:dyDescent="0.25">
      <c r="A491" s="358" t="s">
        <v>395</v>
      </c>
      <c r="B491" s="475" t="s">
        <v>281</v>
      </c>
      <c r="C491" s="431">
        <v>500.86</v>
      </c>
      <c r="D491" s="119">
        <f>+J491</f>
        <v>200</v>
      </c>
      <c r="E491" s="110">
        <v>388.49</v>
      </c>
      <c r="F491" s="119">
        <f>+L491</f>
        <v>200</v>
      </c>
      <c r="G491" s="294">
        <f t="shared" si="195"/>
        <v>1</v>
      </c>
      <c r="H491" s="490">
        <f t="shared" si="198"/>
        <v>0.39931318132811561</v>
      </c>
      <c r="I491" s="290"/>
      <c r="J491" s="119">
        <f t="shared" si="185"/>
        <v>200</v>
      </c>
      <c r="K491" s="290"/>
      <c r="L491" s="290">
        <f t="shared" si="173"/>
        <v>200</v>
      </c>
      <c r="M491" s="354">
        <f>+J491/L491</f>
        <v>1</v>
      </c>
      <c r="N491" s="353"/>
      <c r="O491" s="431">
        <f>+X491</f>
        <v>200</v>
      </c>
      <c r="P491" s="119"/>
      <c r="Q491" s="119"/>
      <c r="R491" s="119"/>
      <c r="S491" s="119"/>
      <c r="T491" s="119"/>
      <c r="U491" s="119"/>
      <c r="V491" s="119"/>
      <c r="W491" s="356"/>
      <c r="X491" s="290">
        <v>200</v>
      </c>
      <c r="Y491" s="119"/>
      <c r="Z491" s="119"/>
      <c r="AA491" s="119"/>
      <c r="AB491" s="119"/>
      <c r="AC491" s="119"/>
      <c r="AD491" s="119"/>
      <c r="AE491" s="355"/>
      <c r="AF491" s="356"/>
    </row>
    <row r="492" spans="1:103" outlineLevel="1" x14ac:dyDescent="0.25">
      <c r="A492" s="352" t="s">
        <v>396</v>
      </c>
      <c r="B492" s="475" t="s">
        <v>309</v>
      </c>
      <c r="C492" s="431">
        <v>115.74</v>
      </c>
      <c r="D492" s="119">
        <f>+J492</f>
        <v>400</v>
      </c>
      <c r="E492" s="110">
        <v>196.2</v>
      </c>
      <c r="F492" s="119">
        <f>+L492</f>
        <v>400</v>
      </c>
      <c r="G492" s="294">
        <f t="shared" si="195"/>
        <v>1</v>
      </c>
      <c r="H492" s="490">
        <f t="shared" si="198"/>
        <v>3.4560221185415587</v>
      </c>
      <c r="I492" s="290"/>
      <c r="J492" s="119">
        <f t="shared" si="185"/>
        <v>400</v>
      </c>
      <c r="K492" s="290"/>
      <c r="L492" s="290">
        <f t="shared" si="173"/>
        <v>400</v>
      </c>
      <c r="M492" s="354">
        <f>+J492/L492</f>
        <v>1</v>
      </c>
      <c r="N492" s="353"/>
      <c r="O492" s="431">
        <f>+X492</f>
        <v>400</v>
      </c>
      <c r="P492" s="119"/>
      <c r="Q492" s="119"/>
      <c r="R492" s="119"/>
      <c r="S492" s="119"/>
      <c r="T492" s="119"/>
      <c r="U492" s="119"/>
      <c r="V492" s="119"/>
      <c r="W492" s="356"/>
      <c r="X492" s="290">
        <v>400</v>
      </c>
      <c r="Y492" s="119"/>
      <c r="Z492" s="119"/>
      <c r="AA492" s="119"/>
      <c r="AB492" s="119"/>
      <c r="AC492" s="119"/>
      <c r="AD492" s="119"/>
      <c r="AE492" s="355"/>
      <c r="AF492" s="356"/>
    </row>
    <row r="493" spans="1:103" outlineLevel="1" x14ac:dyDescent="0.25">
      <c r="A493" s="352" t="s">
        <v>397</v>
      </c>
      <c r="B493" s="475" t="s">
        <v>285</v>
      </c>
      <c r="C493" s="431">
        <v>381.42</v>
      </c>
      <c r="D493" s="119">
        <f>+J493</f>
        <v>400</v>
      </c>
      <c r="E493" s="110">
        <v>135.72</v>
      </c>
      <c r="F493" s="119">
        <f>+L493</f>
        <v>400</v>
      </c>
      <c r="G493" s="294">
        <f t="shared" si="195"/>
        <v>1</v>
      </c>
      <c r="H493" s="490">
        <f t="shared" si="198"/>
        <v>1.0487127051544229</v>
      </c>
      <c r="I493" s="290"/>
      <c r="J493" s="119">
        <f t="shared" si="185"/>
        <v>400</v>
      </c>
      <c r="K493" s="290"/>
      <c r="L493" s="290">
        <f t="shared" si="173"/>
        <v>400</v>
      </c>
      <c r="M493" s="354">
        <f>+J493/L493</f>
        <v>1</v>
      </c>
      <c r="N493" s="353"/>
      <c r="O493" s="431">
        <f>+X493</f>
        <v>400</v>
      </c>
      <c r="P493" s="119"/>
      <c r="Q493" s="119"/>
      <c r="R493" s="119"/>
      <c r="S493" s="119"/>
      <c r="T493" s="119"/>
      <c r="U493" s="119"/>
      <c r="V493" s="119"/>
      <c r="W493" s="356"/>
      <c r="X493" s="290">
        <v>400</v>
      </c>
      <c r="Y493" s="119"/>
      <c r="Z493" s="119"/>
      <c r="AA493" s="119"/>
      <c r="AB493" s="119"/>
      <c r="AC493" s="119"/>
      <c r="AD493" s="119"/>
      <c r="AE493" s="355"/>
      <c r="AF493" s="356"/>
    </row>
    <row r="494" spans="1:103" outlineLevel="1" x14ac:dyDescent="0.25">
      <c r="A494" s="352" t="s">
        <v>1120</v>
      </c>
      <c r="B494" s="475" t="s">
        <v>47</v>
      </c>
      <c r="C494" s="431">
        <v>216.66</v>
      </c>
      <c r="D494" s="119">
        <f>+J494</f>
        <v>0</v>
      </c>
      <c r="E494" s="110">
        <v>246.89</v>
      </c>
      <c r="F494" s="119">
        <f>+L494</f>
        <v>0</v>
      </c>
      <c r="G494" s="294"/>
      <c r="H494" s="490">
        <f t="shared" si="198"/>
        <v>0</v>
      </c>
      <c r="I494" s="290"/>
      <c r="J494" s="119">
        <f t="shared" si="185"/>
        <v>0</v>
      </c>
      <c r="K494" s="290"/>
      <c r="L494" s="290">
        <f t="shared" si="173"/>
        <v>0</v>
      </c>
      <c r="M494" s="354"/>
      <c r="N494" s="353"/>
      <c r="O494" s="431"/>
      <c r="P494" s="119"/>
      <c r="Q494" s="119"/>
      <c r="R494" s="119"/>
      <c r="S494" s="119"/>
      <c r="T494" s="119"/>
      <c r="U494" s="119"/>
      <c r="V494" s="119"/>
      <c r="W494" s="356"/>
      <c r="X494" s="290"/>
      <c r="Y494" s="119"/>
      <c r="Z494" s="119"/>
      <c r="AA494" s="119"/>
      <c r="AB494" s="119"/>
      <c r="AC494" s="119"/>
      <c r="AD494" s="119"/>
      <c r="AE494" s="355"/>
      <c r="AF494" s="356"/>
    </row>
    <row r="495" spans="1:103" s="351" customFormat="1" ht="15.75" x14ac:dyDescent="0.25">
      <c r="A495" s="345" t="s">
        <v>399</v>
      </c>
      <c r="B495" s="474" t="s">
        <v>248</v>
      </c>
      <c r="C495" s="430">
        <f>SUM(C496:C506)</f>
        <v>9708.52</v>
      </c>
      <c r="D495" s="455">
        <f>SUM(D496:D506)</f>
        <v>9450</v>
      </c>
      <c r="E495" s="274">
        <f>SUM(E496:E506)</f>
        <v>11595.6</v>
      </c>
      <c r="F495" s="455">
        <f>SUM(F496:F506)</f>
        <v>11190</v>
      </c>
      <c r="G495" s="292">
        <f t="shared" si="195"/>
        <v>0.84450402144772119</v>
      </c>
      <c r="H495" s="489">
        <f t="shared" si="198"/>
        <v>1.1525958642511938</v>
      </c>
      <c r="I495" s="349"/>
      <c r="J495" s="347">
        <f>SUM(J496:J506)</f>
        <v>9450</v>
      </c>
      <c r="K495" s="291"/>
      <c r="L495" s="291">
        <f t="shared" si="173"/>
        <v>11190</v>
      </c>
      <c r="M495" s="348">
        <f t="shared" ref="M495:M505" si="199">+J495/L495</f>
        <v>0.84450402144772119</v>
      </c>
      <c r="N495" s="392"/>
      <c r="O495" s="430">
        <f>SUM(O496:O506)</f>
        <v>0</v>
      </c>
      <c r="P495" s="455">
        <f t="shared" ref="P495:AF495" si="200">SUM(P496:P506)</f>
        <v>9450</v>
      </c>
      <c r="Q495" s="455">
        <f t="shared" si="200"/>
        <v>0</v>
      </c>
      <c r="R495" s="455">
        <f t="shared" si="200"/>
        <v>0</v>
      </c>
      <c r="S495" s="455">
        <f t="shared" si="200"/>
        <v>0</v>
      </c>
      <c r="T495" s="455">
        <f t="shared" si="200"/>
        <v>0</v>
      </c>
      <c r="U495" s="455">
        <f t="shared" si="200"/>
        <v>0</v>
      </c>
      <c r="V495" s="455">
        <f t="shared" si="200"/>
        <v>0</v>
      </c>
      <c r="W495" s="350">
        <f t="shared" si="200"/>
        <v>0</v>
      </c>
      <c r="X495" s="349">
        <f t="shared" si="200"/>
        <v>0</v>
      </c>
      <c r="Y495" s="455">
        <f t="shared" si="200"/>
        <v>11190</v>
      </c>
      <c r="Z495" s="455">
        <f t="shared" si="200"/>
        <v>0</v>
      </c>
      <c r="AA495" s="455">
        <f t="shared" si="200"/>
        <v>0</v>
      </c>
      <c r="AB495" s="455">
        <f t="shared" si="200"/>
        <v>0</v>
      </c>
      <c r="AC495" s="455">
        <f t="shared" si="200"/>
        <v>0</v>
      </c>
      <c r="AD495" s="455">
        <f t="shared" si="200"/>
        <v>0</v>
      </c>
      <c r="AE495" s="455">
        <f t="shared" si="200"/>
        <v>0</v>
      </c>
      <c r="AF495" s="350">
        <f t="shared" si="200"/>
        <v>0</v>
      </c>
      <c r="AG495" s="293"/>
      <c r="AH495" s="293"/>
      <c r="AI495" s="293"/>
      <c r="AJ495" s="293"/>
      <c r="AK495" s="293"/>
      <c r="AL495" s="293"/>
      <c r="AM495" s="293"/>
      <c r="AN495" s="293"/>
      <c r="AO495" s="293"/>
      <c r="AP495" s="293"/>
      <c r="AQ495" s="293"/>
      <c r="AR495" s="293"/>
      <c r="AS495" s="293"/>
      <c r="AT495" s="293"/>
      <c r="AU495" s="293"/>
      <c r="AV495" s="293"/>
      <c r="AW495" s="293"/>
      <c r="AX495" s="293"/>
      <c r="AY495" s="293"/>
      <c r="AZ495" s="293"/>
      <c r="BA495" s="293"/>
      <c r="BB495" s="293"/>
      <c r="BC495" s="293"/>
      <c r="BD495" s="293"/>
      <c r="BE495" s="293"/>
      <c r="BF495" s="293"/>
      <c r="BG495" s="293"/>
      <c r="BH495" s="293"/>
      <c r="BI495" s="293"/>
      <c r="BJ495" s="293"/>
      <c r="BK495" s="293"/>
      <c r="BL495" s="293"/>
      <c r="BM495" s="293"/>
      <c r="BN495" s="293"/>
      <c r="BO495" s="293"/>
      <c r="BP495" s="293"/>
      <c r="BQ495" s="293"/>
      <c r="BR495" s="293"/>
      <c r="BS495" s="293"/>
      <c r="BT495" s="293"/>
      <c r="BU495" s="293"/>
      <c r="BV495" s="293"/>
      <c r="BW495" s="293"/>
      <c r="BX495" s="293"/>
      <c r="BY495" s="293"/>
      <c r="BZ495" s="293"/>
      <c r="CA495" s="293"/>
      <c r="CB495" s="293"/>
      <c r="CC495" s="293"/>
      <c r="CD495" s="293"/>
      <c r="CE495" s="293"/>
      <c r="CF495" s="293"/>
      <c r="CG495" s="293"/>
      <c r="CH495" s="293"/>
      <c r="CI495" s="293"/>
      <c r="CJ495" s="293"/>
      <c r="CK495" s="293"/>
      <c r="CL495" s="293"/>
      <c r="CM495" s="293"/>
      <c r="CN495" s="293"/>
      <c r="CO495" s="293"/>
      <c r="CP495" s="293"/>
      <c r="CQ495" s="293"/>
      <c r="CR495" s="293"/>
      <c r="CS495" s="293"/>
      <c r="CT495" s="293"/>
      <c r="CU495" s="293"/>
      <c r="CV495" s="293"/>
      <c r="CW495" s="293"/>
      <c r="CX495" s="293"/>
      <c r="CY495" s="293"/>
    </row>
    <row r="496" spans="1:103" outlineLevel="1" x14ac:dyDescent="0.25">
      <c r="A496" s="352" t="s">
        <v>400</v>
      </c>
      <c r="B496" s="475" t="s">
        <v>382</v>
      </c>
      <c r="C496" s="431">
        <v>5513.6</v>
      </c>
      <c r="D496" s="119">
        <f>+J496</f>
        <v>5000</v>
      </c>
      <c r="E496" s="110">
        <v>6288.43</v>
      </c>
      <c r="F496" s="119">
        <f t="shared" ref="F496:F506" si="201">+L496</f>
        <v>5000</v>
      </c>
      <c r="G496" s="294">
        <f t="shared" si="195"/>
        <v>1</v>
      </c>
      <c r="H496" s="490">
        <f t="shared" si="198"/>
        <v>0.90684852002321525</v>
      </c>
      <c r="I496" s="290"/>
      <c r="J496" s="119">
        <f t="shared" si="185"/>
        <v>5000</v>
      </c>
      <c r="K496" s="290"/>
      <c r="L496" s="290">
        <f t="shared" si="173"/>
        <v>5000</v>
      </c>
      <c r="M496" s="354">
        <f t="shared" si="199"/>
        <v>1</v>
      </c>
      <c r="N496" s="353"/>
      <c r="O496" s="431"/>
      <c r="P496" s="119">
        <v>5000</v>
      </c>
      <c r="Q496" s="119"/>
      <c r="R496" s="119"/>
      <c r="S496" s="119"/>
      <c r="T496" s="119"/>
      <c r="U496" s="119"/>
      <c r="V496" s="119"/>
      <c r="W496" s="356"/>
      <c r="X496" s="290"/>
      <c r="Y496" s="119">
        <v>5000</v>
      </c>
      <c r="Z496" s="119"/>
      <c r="AA496" s="119"/>
      <c r="AB496" s="119"/>
      <c r="AC496" s="119"/>
      <c r="AD496" s="119"/>
      <c r="AE496" s="355"/>
      <c r="AF496" s="356"/>
    </row>
    <row r="497" spans="1:103" outlineLevel="1" x14ac:dyDescent="0.25">
      <c r="A497" s="374" t="s">
        <v>401</v>
      </c>
      <c r="B497" s="475" t="s">
        <v>383</v>
      </c>
      <c r="C497" s="431"/>
      <c r="D497" s="119">
        <f t="shared" ref="D497:D505" si="202">+J497</f>
        <v>750</v>
      </c>
      <c r="E497" s="110">
        <v>3691.32</v>
      </c>
      <c r="F497" s="119">
        <f t="shared" si="201"/>
        <v>750</v>
      </c>
      <c r="G497" s="294">
        <f t="shared" si="195"/>
        <v>1</v>
      </c>
      <c r="H497" s="490"/>
      <c r="I497" s="290"/>
      <c r="J497" s="119">
        <f t="shared" si="185"/>
        <v>750</v>
      </c>
      <c r="K497" s="290"/>
      <c r="L497" s="290">
        <f t="shared" si="173"/>
        <v>750</v>
      </c>
      <c r="M497" s="354">
        <f t="shared" si="199"/>
        <v>1</v>
      </c>
      <c r="N497" s="353"/>
      <c r="O497" s="431"/>
      <c r="P497" s="119">
        <v>750</v>
      </c>
      <c r="Q497" s="119"/>
      <c r="R497" s="119"/>
      <c r="S497" s="119"/>
      <c r="T497" s="119"/>
      <c r="U497" s="119"/>
      <c r="V497" s="119"/>
      <c r="W497" s="356"/>
      <c r="X497" s="290"/>
      <c r="Y497" s="119">
        <v>750</v>
      </c>
      <c r="Z497" s="119"/>
      <c r="AA497" s="119"/>
      <c r="AB497" s="119"/>
      <c r="AC497" s="119"/>
      <c r="AD497" s="119"/>
      <c r="AE497" s="355"/>
      <c r="AF497" s="356"/>
    </row>
    <row r="498" spans="1:103" outlineLevel="1" x14ac:dyDescent="0.25">
      <c r="A498" s="374" t="s">
        <v>402</v>
      </c>
      <c r="B498" s="475" t="s">
        <v>384</v>
      </c>
      <c r="C498" s="431">
        <v>2242.17</v>
      </c>
      <c r="D498" s="119">
        <f t="shared" si="202"/>
        <v>400</v>
      </c>
      <c r="E498" s="110">
        <v>767.32</v>
      </c>
      <c r="F498" s="119">
        <f t="shared" si="201"/>
        <v>400</v>
      </c>
      <c r="G498" s="294">
        <f t="shared" si="195"/>
        <v>1</v>
      </c>
      <c r="H498" s="490">
        <f>+F498/C498</f>
        <v>0.17839860492290949</v>
      </c>
      <c r="I498" s="290"/>
      <c r="J498" s="119">
        <f t="shared" si="185"/>
        <v>400</v>
      </c>
      <c r="K498" s="290"/>
      <c r="L498" s="290">
        <f t="shared" si="173"/>
        <v>400</v>
      </c>
      <c r="M498" s="354">
        <f t="shared" si="199"/>
        <v>1</v>
      </c>
      <c r="N498" s="353"/>
      <c r="O498" s="431"/>
      <c r="P498" s="119">
        <v>400</v>
      </c>
      <c r="Q498" s="119"/>
      <c r="R498" s="119"/>
      <c r="S498" s="119"/>
      <c r="T498" s="119"/>
      <c r="U498" s="119"/>
      <c r="V498" s="119"/>
      <c r="W498" s="356"/>
      <c r="X498" s="290"/>
      <c r="Y498" s="119">
        <v>400</v>
      </c>
      <c r="Z498" s="119"/>
      <c r="AA498" s="119"/>
      <c r="AB498" s="119"/>
      <c r="AC498" s="119"/>
      <c r="AD498" s="119"/>
      <c r="AE498" s="355"/>
      <c r="AF498" s="356"/>
    </row>
    <row r="499" spans="1:103" outlineLevel="1" x14ac:dyDescent="0.25">
      <c r="A499" s="374" t="s">
        <v>815</v>
      </c>
      <c r="B499" s="475" t="s">
        <v>385</v>
      </c>
      <c r="C499" s="431"/>
      <c r="D499" s="119">
        <f t="shared" si="202"/>
        <v>600</v>
      </c>
      <c r="E499" s="110"/>
      <c r="F499" s="119">
        <f t="shared" si="201"/>
        <v>600</v>
      </c>
      <c r="G499" s="294">
        <f t="shared" si="195"/>
        <v>1</v>
      </c>
      <c r="H499" s="490"/>
      <c r="I499" s="290"/>
      <c r="J499" s="119">
        <f t="shared" si="185"/>
        <v>600</v>
      </c>
      <c r="K499" s="290"/>
      <c r="L499" s="290">
        <f t="shared" si="173"/>
        <v>600</v>
      </c>
      <c r="M499" s="354">
        <f t="shared" si="199"/>
        <v>1</v>
      </c>
      <c r="N499" s="353"/>
      <c r="O499" s="431"/>
      <c r="P499" s="119">
        <v>600</v>
      </c>
      <c r="Q499" s="119"/>
      <c r="R499" s="119"/>
      <c r="S499" s="119"/>
      <c r="T499" s="119"/>
      <c r="U499" s="119"/>
      <c r="V499" s="119"/>
      <c r="W499" s="356"/>
      <c r="X499" s="290"/>
      <c r="Y499" s="119">
        <v>600</v>
      </c>
      <c r="Z499" s="119"/>
      <c r="AA499" s="119"/>
      <c r="AB499" s="119"/>
      <c r="AC499" s="119"/>
      <c r="AD499" s="119"/>
      <c r="AE499" s="355"/>
      <c r="AF499" s="356"/>
    </row>
    <row r="500" spans="1:103" outlineLevel="1" x14ac:dyDescent="0.25">
      <c r="A500" s="374" t="s">
        <v>816</v>
      </c>
      <c r="B500" s="475" t="s">
        <v>386</v>
      </c>
      <c r="C500" s="431"/>
      <c r="D500" s="119"/>
      <c r="E500" s="110"/>
      <c r="F500" s="119">
        <f t="shared" si="201"/>
        <v>600</v>
      </c>
      <c r="G500" s="294">
        <f t="shared" si="195"/>
        <v>0</v>
      </c>
      <c r="H500" s="490"/>
      <c r="I500" s="290"/>
      <c r="J500" s="119">
        <f t="shared" si="185"/>
        <v>0</v>
      </c>
      <c r="K500" s="290"/>
      <c r="L500" s="290">
        <f t="shared" si="173"/>
        <v>600</v>
      </c>
      <c r="M500" s="354">
        <f t="shared" si="199"/>
        <v>0</v>
      </c>
      <c r="N500" s="353"/>
      <c r="O500" s="431"/>
      <c r="P500" s="119"/>
      <c r="Q500" s="119"/>
      <c r="R500" s="119"/>
      <c r="S500" s="119"/>
      <c r="T500" s="119"/>
      <c r="U500" s="119"/>
      <c r="V500" s="119"/>
      <c r="W500" s="356"/>
      <c r="X500" s="290"/>
      <c r="Y500" s="119">
        <v>600</v>
      </c>
      <c r="Z500" s="119"/>
      <c r="AA500" s="119"/>
      <c r="AB500" s="119"/>
      <c r="AC500" s="119"/>
      <c r="AD500" s="119"/>
      <c r="AE500" s="355"/>
      <c r="AF500" s="356"/>
    </row>
    <row r="501" spans="1:103" outlineLevel="1" x14ac:dyDescent="0.25">
      <c r="A501" s="374" t="s">
        <v>817</v>
      </c>
      <c r="B501" s="475" t="s">
        <v>387</v>
      </c>
      <c r="C501" s="431"/>
      <c r="D501" s="119"/>
      <c r="E501" s="110"/>
      <c r="F501" s="119">
        <f t="shared" si="201"/>
        <v>600</v>
      </c>
      <c r="G501" s="294">
        <f t="shared" si="195"/>
        <v>0</v>
      </c>
      <c r="H501" s="490"/>
      <c r="I501" s="290"/>
      <c r="J501" s="119">
        <f t="shared" si="185"/>
        <v>0</v>
      </c>
      <c r="K501" s="290"/>
      <c r="L501" s="290">
        <f t="shared" si="173"/>
        <v>600</v>
      </c>
      <c r="M501" s="354">
        <f t="shared" si="199"/>
        <v>0</v>
      </c>
      <c r="N501" s="353"/>
      <c r="O501" s="431"/>
      <c r="P501" s="119"/>
      <c r="Q501" s="119"/>
      <c r="R501" s="119"/>
      <c r="S501" s="119"/>
      <c r="T501" s="119"/>
      <c r="U501" s="119"/>
      <c r="V501" s="119"/>
      <c r="W501" s="356"/>
      <c r="X501" s="290"/>
      <c r="Y501" s="119">
        <v>600</v>
      </c>
      <c r="Z501" s="119"/>
      <c r="AA501" s="119"/>
      <c r="AB501" s="119"/>
      <c r="AC501" s="119"/>
      <c r="AD501" s="119"/>
      <c r="AE501" s="355"/>
      <c r="AF501" s="356"/>
    </row>
    <row r="502" spans="1:103" outlineLevel="1" x14ac:dyDescent="0.25">
      <c r="A502" s="374" t="s">
        <v>818</v>
      </c>
      <c r="B502" s="475" t="s">
        <v>1219</v>
      </c>
      <c r="C502" s="431"/>
      <c r="D502" s="119"/>
      <c r="E502" s="110"/>
      <c r="F502" s="119">
        <f t="shared" si="201"/>
        <v>600</v>
      </c>
      <c r="G502" s="294">
        <f t="shared" si="195"/>
        <v>0</v>
      </c>
      <c r="H502" s="490"/>
      <c r="I502" s="290"/>
      <c r="J502" s="119">
        <f t="shared" si="185"/>
        <v>0</v>
      </c>
      <c r="K502" s="290"/>
      <c r="L502" s="290">
        <f t="shared" si="173"/>
        <v>600</v>
      </c>
      <c r="M502" s="354">
        <f t="shared" si="199"/>
        <v>0</v>
      </c>
      <c r="N502" s="353"/>
      <c r="O502" s="431"/>
      <c r="P502" s="119"/>
      <c r="Q502" s="119"/>
      <c r="R502" s="119"/>
      <c r="S502" s="119"/>
      <c r="T502" s="119"/>
      <c r="U502" s="119"/>
      <c r="V502" s="119"/>
      <c r="W502" s="356"/>
      <c r="X502" s="290"/>
      <c r="Y502" s="119">
        <v>600</v>
      </c>
      <c r="Z502" s="119"/>
      <c r="AA502" s="119"/>
      <c r="AB502" s="119"/>
      <c r="AC502" s="119"/>
      <c r="AD502" s="119"/>
      <c r="AE502" s="355"/>
      <c r="AF502" s="356"/>
    </row>
    <row r="503" spans="1:103" outlineLevel="1" x14ac:dyDescent="0.25">
      <c r="A503" s="374" t="s">
        <v>1220</v>
      </c>
      <c r="B503" s="475" t="s">
        <v>1221</v>
      </c>
      <c r="C503" s="431"/>
      <c r="D503" s="119">
        <f t="shared" si="202"/>
        <v>900</v>
      </c>
      <c r="E503" s="110"/>
      <c r="F503" s="119">
        <f t="shared" si="201"/>
        <v>900</v>
      </c>
      <c r="G503" s="294">
        <f t="shared" si="195"/>
        <v>1</v>
      </c>
      <c r="H503" s="490"/>
      <c r="I503" s="290"/>
      <c r="J503" s="119">
        <f t="shared" si="185"/>
        <v>900</v>
      </c>
      <c r="K503" s="290"/>
      <c r="L503" s="290">
        <f t="shared" ref="L503:L574" si="203">+X503+Y503+Z503+AA503+AB503+AC503+AD503+AE503+AF503</f>
        <v>900</v>
      </c>
      <c r="M503" s="354">
        <f t="shared" si="199"/>
        <v>1</v>
      </c>
      <c r="N503" s="353"/>
      <c r="O503" s="431"/>
      <c r="P503" s="119">
        <v>900</v>
      </c>
      <c r="Q503" s="119"/>
      <c r="R503" s="119"/>
      <c r="S503" s="119"/>
      <c r="T503" s="119"/>
      <c r="U503" s="119"/>
      <c r="V503" s="119"/>
      <c r="W503" s="356"/>
      <c r="X503" s="290"/>
      <c r="Y503" s="119">
        <v>900</v>
      </c>
      <c r="Z503" s="119"/>
      <c r="AA503" s="119"/>
      <c r="AB503" s="119"/>
      <c r="AC503" s="119"/>
      <c r="AD503" s="119"/>
      <c r="AE503" s="355"/>
      <c r="AF503" s="356"/>
    </row>
    <row r="504" spans="1:103" outlineLevel="1" x14ac:dyDescent="0.25">
      <c r="A504" s="374" t="s">
        <v>1121</v>
      </c>
      <c r="B504" s="475" t="s">
        <v>1222</v>
      </c>
      <c r="C504" s="431">
        <v>1952.75</v>
      </c>
      <c r="D504" s="119">
        <f t="shared" si="202"/>
        <v>900</v>
      </c>
      <c r="E504" s="110">
        <v>848.53</v>
      </c>
      <c r="F504" s="119">
        <f t="shared" si="201"/>
        <v>840</v>
      </c>
      <c r="G504" s="294">
        <f t="shared" si="195"/>
        <v>1.0714285714285714</v>
      </c>
      <c r="H504" s="490">
        <f>+F504/C504</f>
        <v>0.43016259121751377</v>
      </c>
      <c r="I504" s="290"/>
      <c r="J504" s="119">
        <f t="shared" si="185"/>
        <v>900</v>
      </c>
      <c r="K504" s="290"/>
      <c r="L504" s="290">
        <f t="shared" si="203"/>
        <v>840</v>
      </c>
      <c r="M504" s="354">
        <f t="shared" si="199"/>
        <v>1.0714285714285714</v>
      </c>
      <c r="N504" s="353"/>
      <c r="O504" s="431"/>
      <c r="P504" s="119">
        <v>900</v>
      </c>
      <c r="Q504" s="119"/>
      <c r="R504" s="119"/>
      <c r="S504" s="119"/>
      <c r="T504" s="119"/>
      <c r="U504" s="119"/>
      <c r="V504" s="119"/>
      <c r="W504" s="356"/>
      <c r="X504" s="290"/>
      <c r="Y504" s="119">
        <v>840</v>
      </c>
      <c r="Z504" s="119"/>
      <c r="AA504" s="119"/>
      <c r="AB504" s="119"/>
      <c r="AC504" s="119"/>
      <c r="AD504" s="119"/>
      <c r="AE504" s="355"/>
      <c r="AF504" s="356"/>
    </row>
    <row r="505" spans="1:103" outlineLevel="1" x14ac:dyDescent="0.25">
      <c r="A505" s="374" t="s">
        <v>1223</v>
      </c>
      <c r="B505" s="475" t="s">
        <v>1224</v>
      </c>
      <c r="C505" s="431"/>
      <c r="D505" s="119">
        <f t="shared" si="202"/>
        <v>900</v>
      </c>
      <c r="E505" s="110"/>
      <c r="F505" s="119">
        <f t="shared" si="201"/>
        <v>900</v>
      </c>
      <c r="G505" s="294">
        <f t="shared" si="195"/>
        <v>1</v>
      </c>
      <c r="H505" s="490"/>
      <c r="I505" s="290"/>
      <c r="J505" s="119">
        <f t="shared" si="185"/>
        <v>900</v>
      </c>
      <c r="K505" s="290"/>
      <c r="L505" s="290">
        <f t="shared" si="203"/>
        <v>900</v>
      </c>
      <c r="M505" s="354">
        <f t="shared" si="199"/>
        <v>1</v>
      </c>
      <c r="N505" s="353"/>
      <c r="O505" s="431"/>
      <c r="P505" s="119">
        <v>900</v>
      </c>
      <c r="Q505" s="119"/>
      <c r="R505" s="119"/>
      <c r="S505" s="119"/>
      <c r="T505" s="119"/>
      <c r="U505" s="119"/>
      <c r="V505" s="119"/>
      <c r="W505" s="356"/>
      <c r="X505" s="290"/>
      <c r="Y505" s="119">
        <v>900</v>
      </c>
      <c r="Z505" s="119"/>
      <c r="AA505" s="119"/>
      <c r="AB505" s="119"/>
      <c r="AC505" s="119"/>
      <c r="AD505" s="119"/>
      <c r="AE505" s="355"/>
      <c r="AF505" s="356"/>
    </row>
    <row r="506" spans="1:103" outlineLevel="1" x14ac:dyDescent="0.25">
      <c r="A506" s="352" t="s">
        <v>1225</v>
      </c>
      <c r="B506" s="475" t="s">
        <v>47</v>
      </c>
      <c r="C506" s="431"/>
      <c r="D506" s="119"/>
      <c r="E506" s="110"/>
      <c r="F506" s="119">
        <f t="shared" si="201"/>
        <v>0</v>
      </c>
      <c r="G506" s="294"/>
      <c r="H506" s="490"/>
      <c r="I506" s="290"/>
      <c r="J506" s="119">
        <f t="shared" si="185"/>
        <v>0</v>
      </c>
      <c r="K506" s="290"/>
      <c r="L506" s="290">
        <f t="shared" si="203"/>
        <v>0</v>
      </c>
      <c r="M506" s="354"/>
      <c r="N506" s="353"/>
      <c r="O506" s="431"/>
      <c r="P506" s="119"/>
      <c r="Q506" s="119"/>
      <c r="R506" s="119"/>
      <c r="S506" s="119"/>
      <c r="T506" s="119"/>
      <c r="U506" s="119"/>
      <c r="V506" s="119"/>
      <c r="W506" s="356"/>
      <c r="X506" s="290"/>
      <c r="Y506" s="119"/>
      <c r="Z506" s="119"/>
      <c r="AA506" s="119"/>
      <c r="AB506" s="119"/>
      <c r="AC506" s="119"/>
      <c r="AD506" s="119"/>
      <c r="AE506" s="355"/>
      <c r="AF506" s="356"/>
    </row>
    <row r="507" spans="1:103" s="351" customFormat="1" ht="15.75" x14ac:dyDescent="0.25">
      <c r="A507" s="345" t="s">
        <v>403</v>
      </c>
      <c r="B507" s="474" t="s">
        <v>388</v>
      </c>
      <c r="C507" s="430">
        <f>SUM(C508:C512)</f>
        <v>15708.960000000001</v>
      </c>
      <c r="D507" s="455">
        <f>SUM(D508:D512)</f>
        <v>11124</v>
      </c>
      <c r="E507" s="274">
        <f>SUM(E508:E512)</f>
        <v>12096.910000000002</v>
      </c>
      <c r="F507" s="455">
        <f>SUM(F508:F512)</f>
        <v>12684</v>
      </c>
      <c r="G507" s="292">
        <f t="shared" si="195"/>
        <v>0.87701040681173137</v>
      </c>
      <c r="H507" s="489">
        <f>+F507/C507</f>
        <v>0.80743728419959049</v>
      </c>
      <c r="I507" s="349"/>
      <c r="J507" s="347">
        <f>SUM(J508:J512)</f>
        <v>11124</v>
      </c>
      <c r="K507" s="291"/>
      <c r="L507" s="291">
        <f t="shared" si="203"/>
        <v>12684</v>
      </c>
      <c r="M507" s="348">
        <f t="shared" ref="M507:M515" si="204">+J507/L507</f>
        <v>0.87701040681173137</v>
      </c>
      <c r="N507" s="392"/>
      <c r="O507" s="430">
        <f>+O508+O509+O510+O511+O512</f>
        <v>824</v>
      </c>
      <c r="P507" s="455">
        <f t="shared" ref="P507:AF507" si="205">SUM(P508:P512)</f>
        <v>0</v>
      </c>
      <c r="Q507" s="455">
        <f t="shared" si="205"/>
        <v>7300</v>
      </c>
      <c r="R507" s="455">
        <f t="shared" si="205"/>
        <v>0</v>
      </c>
      <c r="S507" s="455">
        <f t="shared" si="205"/>
        <v>3000</v>
      </c>
      <c r="T507" s="455">
        <f t="shared" si="205"/>
        <v>0</v>
      </c>
      <c r="U507" s="455">
        <f t="shared" si="205"/>
        <v>0</v>
      </c>
      <c r="V507" s="455">
        <f t="shared" si="205"/>
        <v>0</v>
      </c>
      <c r="W507" s="350">
        <f t="shared" si="205"/>
        <v>0</v>
      </c>
      <c r="X507" s="349">
        <f t="shared" si="205"/>
        <v>2024</v>
      </c>
      <c r="Y507" s="455">
        <f t="shared" si="205"/>
        <v>0</v>
      </c>
      <c r="Z507" s="455">
        <f t="shared" si="205"/>
        <v>7460</v>
      </c>
      <c r="AA507" s="455">
        <f t="shared" si="205"/>
        <v>0</v>
      </c>
      <c r="AB507" s="455">
        <f t="shared" si="205"/>
        <v>3200</v>
      </c>
      <c r="AC507" s="455">
        <f t="shared" si="205"/>
        <v>0</v>
      </c>
      <c r="AD507" s="455">
        <f t="shared" si="205"/>
        <v>0</v>
      </c>
      <c r="AE507" s="455">
        <f t="shared" si="205"/>
        <v>0</v>
      </c>
      <c r="AF507" s="350">
        <f t="shared" si="205"/>
        <v>0</v>
      </c>
      <c r="AG507" s="293"/>
      <c r="AH507" s="293"/>
      <c r="AI507" s="293"/>
      <c r="AJ507" s="293"/>
      <c r="AK507" s="293"/>
      <c r="AL507" s="293"/>
      <c r="AM507" s="293"/>
      <c r="AN507" s="293"/>
      <c r="AO507" s="293"/>
      <c r="AP507" s="293"/>
      <c r="AQ507" s="293"/>
      <c r="AR507" s="293"/>
      <c r="AS507" s="293"/>
      <c r="AT507" s="293"/>
      <c r="AU507" s="293"/>
      <c r="AV507" s="293"/>
      <c r="AW507" s="293"/>
      <c r="AX507" s="293"/>
      <c r="AY507" s="293"/>
      <c r="AZ507" s="293"/>
      <c r="BA507" s="293"/>
      <c r="BB507" s="293"/>
      <c r="BC507" s="293"/>
      <c r="BD507" s="293"/>
      <c r="BE507" s="293"/>
      <c r="BF507" s="293"/>
      <c r="BG507" s="293"/>
      <c r="BH507" s="293"/>
      <c r="BI507" s="293"/>
      <c r="BJ507" s="293"/>
      <c r="BK507" s="293"/>
      <c r="BL507" s="293"/>
      <c r="BM507" s="293"/>
      <c r="BN507" s="293"/>
      <c r="BO507" s="293"/>
      <c r="BP507" s="293"/>
      <c r="BQ507" s="293"/>
      <c r="BR507" s="293"/>
      <c r="BS507" s="293"/>
      <c r="BT507" s="293"/>
      <c r="BU507" s="293"/>
      <c r="BV507" s="293"/>
      <c r="BW507" s="293"/>
      <c r="BX507" s="293"/>
      <c r="BY507" s="293"/>
      <c r="BZ507" s="293"/>
      <c r="CA507" s="293"/>
      <c r="CB507" s="293"/>
      <c r="CC507" s="293"/>
      <c r="CD507" s="293"/>
      <c r="CE507" s="293"/>
      <c r="CF507" s="293"/>
      <c r="CG507" s="293"/>
      <c r="CH507" s="293"/>
      <c r="CI507" s="293"/>
      <c r="CJ507" s="293"/>
      <c r="CK507" s="293"/>
      <c r="CL507" s="293"/>
      <c r="CM507" s="293"/>
      <c r="CN507" s="293"/>
      <c r="CO507" s="293"/>
      <c r="CP507" s="293"/>
      <c r="CQ507" s="293"/>
      <c r="CR507" s="293"/>
      <c r="CS507" s="293"/>
      <c r="CT507" s="293"/>
      <c r="CU507" s="293"/>
      <c r="CV507" s="293"/>
      <c r="CW507" s="293"/>
      <c r="CX507" s="293"/>
      <c r="CY507" s="293"/>
    </row>
    <row r="508" spans="1:103" outlineLevel="1" x14ac:dyDescent="0.25">
      <c r="A508" s="352" t="s">
        <v>404</v>
      </c>
      <c r="B508" s="475" t="s">
        <v>1190</v>
      </c>
      <c r="C508" s="431">
        <v>10087.870000000001</v>
      </c>
      <c r="D508" s="119">
        <f>+J508</f>
        <v>7824</v>
      </c>
      <c r="E508" s="110">
        <v>8030.26</v>
      </c>
      <c r="F508" s="119">
        <f>+L508</f>
        <v>8000</v>
      </c>
      <c r="G508" s="294">
        <f t="shared" si="195"/>
        <v>0.97799999999999998</v>
      </c>
      <c r="H508" s="490">
        <f>+F508/C508</f>
        <v>0.7930316310578942</v>
      </c>
      <c r="I508" s="290"/>
      <c r="J508" s="119">
        <f t="shared" si="185"/>
        <v>7824</v>
      </c>
      <c r="K508" s="290"/>
      <c r="L508" s="290">
        <f t="shared" si="203"/>
        <v>8000</v>
      </c>
      <c r="M508" s="354">
        <f t="shared" si="204"/>
        <v>0.97799999999999998</v>
      </c>
      <c r="N508" s="353"/>
      <c r="O508" s="431">
        <f>+X508</f>
        <v>524</v>
      </c>
      <c r="P508" s="119"/>
      <c r="Q508" s="119">
        <v>7300</v>
      </c>
      <c r="R508" s="119"/>
      <c r="S508" s="119"/>
      <c r="T508" s="119"/>
      <c r="U508" s="119"/>
      <c r="V508" s="119"/>
      <c r="W508" s="356"/>
      <c r="X508" s="290">
        <v>524</v>
      </c>
      <c r="Y508" s="119"/>
      <c r="Z508" s="119">
        <f>5726+50</f>
        <v>5776</v>
      </c>
      <c r="AA508" s="119"/>
      <c r="AB508" s="119">
        <f>1500+200</f>
        <v>1700</v>
      </c>
      <c r="AC508" s="119"/>
      <c r="AD508" s="119"/>
      <c r="AE508" s="355"/>
      <c r="AF508" s="356"/>
    </row>
    <row r="509" spans="1:103" outlineLevel="1" x14ac:dyDescent="0.25">
      <c r="A509" s="352" t="s">
        <v>405</v>
      </c>
      <c r="B509" s="475" t="s">
        <v>1191</v>
      </c>
      <c r="C509" s="431">
        <v>1091.94</v>
      </c>
      <c r="D509" s="119">
        <f>+J509</f>
        <v>3000</v>
      </c>
      <c r="E509" s="110">
        <v>2816.53</v>
      </c>
      <c r="F509" s="119">
        <f>+L509</f>
        <v>3000</v>
      </c>
      <c r="G509" s="294">
        <f t="shared" si="195"/>
        <v>1</v>
      </c>
      <c r="H509" s="490">
        <f>+F509/C509</f>
        <v>2.7474037035001921</v>
      </c>
      <c r="I509" s="290"/>
      <c r="J509" s="119">
        <f t="shared" si="185"/>
        <v>3000</v>
      </c>
      <c r="K509" s="290"/>
      <c r="L509" s="290">
        <f t="shared" si="203"/>
        <v>3000</v>
      </c>
      <c r="M509" s="354">
        <f t="shared" si="204"/>
        <v>1</v>
      </c>
      <c r="N509" s="353"/>
      <c r="O509" s="431"/>
      <c r="P509" s="119"/>
      <c r="Q509" s="119"/>
      <c r="R509" s="119"/>
      <c r="S509" s="119">
        <v>3000</v>
      </c>
      <c r="T509" s="119"/>
      <c r="U509" s="119"/>
      <c r="V509" s="119"/>
      <c r="W509" s="356"/>
      <c r="X509" s="290"/>
      <c r="Y509" s="119"/>
      <c r="Z509" s="119">
        <v>1500</v>
      </c>
      <c r="AA509" s="119"/>
      <c r="AB509" s="119">
        <f>1300+200</f>
        <v>1500</v>
      </c>
      <c r="AC509" s="119"/>
      <c r="AD509" s="119"/>
      <c r="AE509" s="355"/>
      <c r="AF509" s="356"/>
    </row>
    <row r="510" spans="1:103" outlineLevel="1" x14ac:dyDescent="0.25">
      <c r="A510" s="352" t="s">
        <v>412</v>
      </c>
      <c r="B510" s="475" t="s">
        <v>1226</v>
      </c>
      <c r="C510" s="431"/>
      <c r="D510" s="119">
        <f>+J510</f>
        <v>300</v>
      </c>
      <c r="E510" s="110">
        <v>55</v>
      </c>
      <c r="F510" s="119">
        <f>+L510</f>
        <v>400</v>
      </c>
      <c r="G510" s="294">
        <f t="shared" si="195"/>
        <v>0.75</v>
      </c>
      <c r="H510" s="490"/>
      <c r="I510" s="290"/>
      <c r="J510" s="119">
        <f t="shared" si="185"/>
        <v>300</v>
      </c>
      <c r="K510" s="290"/>
      <c r="L510" s="290">
        <f t="shared" si="203"/>
        <v>400</v>
      </c>
      <c r="M510" s="354">
        <f t="shared" si="204"/>
        <v>0.75</v>
      </c>
      <c r="N510" s="353"/>
      <c r="O510" s="431">
        <f>+X510</f>
        <v>300</v>
      </c>
      <c r="P510" s="119"/>
      <c r="Q510" s="119"/>
      <c r="R510" s="119"/>
      <c r="S510" s="119"/>
      <c r="T510" s="119"/>
      <c r="U510" s="119"/>
      <c r="V510" s="119"/>
      <c r="W510" s="356"/>
      <c r="X510" s="290">
        <f>250+50</f>
        <v>300</v>
      </c>
      <c r="Y510" s="119"/>
      <c r="Z510" s="119">
        <v>100</v>
      </c>
      <c r="AA510" s="119"/>
      <c r="AB510" s="119"/>
      <c r="AC510" s="119"/>
      <c r="AD510" s="119"/>
      <c r="AE510" s="355"/>
      <c r="AF510" s="356"/>
    </row>
    <row r="511" spans="1:103" outlineLevel="1" x14ac:dyDescent="0.25">
      <c r="A511" s="352" t="s">
        <v>406</v>
      </c>
      <c r="B511" s="475" t="s">
        <v>1227</v>
      </c>
      <c r="C511" s="431"/>
      <c r="D511" s="119"/>
      <c r="E511" s="110">
        <v>1192.28</v>
      </c>
      <c r="F511" s="119">
        <f>+L511</f>
        <v>1200</v>
      </c>
      <c r="G511" s="294">
        <f t="shared" si="195"/>
        <v>0</v>
      </c>
      <c r="H511" s="490"/>
      <c r="I511" s="290"/>
      <c r="J511" s="119">
        <f t="shared" si="185"/>
        <v>0</v>
      </c>
      <c r="K511" s="290"/>
      <c r="L511" s="290">
        <f t="shared" si="203"/>
        <v>1200</v>
      </c>
      <c r="M511" s="354">
        <f t="shared" si="204"/>
        <v>0</v>
      </c>
      <c r="N511" s="353"/>
      <c r="O511" s="431"/>
      <c r="P511" s="119"/>
      <c r="Q511" s="119"/>
      <c r="R511" s="119"/>
      <c r="S511" s="119"/>
      <c r="T511" s="119"/>
      <c r="U511" s="119"/>
      <c r="V511" s="119"/>
      <c r="W511" s="356"/>
      <c r="X511" s="290">
        <v>1200</v>
      </c>
      <c r="Y511" s="119"/>
      <c r="Z511" s="119"/>
      <c r="AA511" s="119"/>
      <c r="AB511" s="119"/>
      <c r="AC511" s="119"/>
      <c r="AD511" s="119"/>
      <c r="AE511" s="355"/>
      <c r="AF511" s="356"/>
    </row>
    <row r="512" spans="1:103" outlineLevel="1" x14ac:dyDescent="0.25">
      <c r="A512" s="352" t="s">
        <v>1122</v>
      </c>
      <c r="B512" s="475" t="s">
        <v>47</v>
      </c>
      <c r="C512" s="431">
        <v>4529.1499999999996</v>
      </c>
      <c r="D512" s="119"/>
      <c r="E512" s="110">
        <v>2.84</v>
      </c>
      <c r="F512" s="119">
        <f>+L512</f>
        <v>84</v>
      </c>
      <c r="G512" s="294">
        <f t="shared" si="195"/>
        <v>0</v>
      </c>
      <c r="H512" s="490">
        <f t="shared" ref="H512:H519" si="206">+F512/C512</f>
        <v>1.8546526390161511E-2</v>
      </c>
      <c r="I512" s="290"/>
      <c r="J512" s="119">
        <f t="shared" si="185"/>
        <v>0</v>
      </c>
      <c r="K512" s="290"/>
      <c r="L512" s="290">
        <f t="shared" si="203"/>
        <v>84</v>
      </c>
      <c r="M512" s="354">
        <f t="shared" si="204"/>
        <v>0</v>
      </c>
      <c r="N512" s="353"/>
      <c r="O512" s="431"/>
      <c r="P512" s="119"/>
      <c r="Q512" s="119"/>
      <c r="R512" s="119"/>
      <c r="S512" s="119"/>
      <c r="T512" s="119"/>
      <c r="U512" s="119"/>
      <c r="V512" s="119"/>
      <c r="W512" s="356"/>
      <c r="X512" s="290"/>
      <c r="Y512" s="119"/>
      <c r="Z512" s="119">
        <v>84</v>
      </c>
      <c r="AA512" s="119"/>
      <c r="AB512" s="119"/>
      <c r="AC512" s="119"/>
      <c r="AD512" s="119"/>
      <c r="AE512" s="355"/>
      <c r="AF512" s="356"/>
    </row>
    <row r="513" spans="1:103" s="351" customFormat="1" ht="15.75" x14ac:dyDescent="0.25">
      <c r="A513" s="345" t="s">
        <v>407</v>
      </c>
      <c r="B513" s="474" t="s">
        <v>250</v>
      </c>
      <c r="C513" s="430">
        <f>SUM(C514:C525)</f>
        <v>20381.46</v>
      </c>
      <c r="D513" s="455">
        <f>SUM(D514:D525)</f>
        <v>11239</v>
      </c>
      <c r="E513" s="274">
        <f>SUM(E514:E525)</f>
        <v>13194.84</v>
      </c>
      <c r="F513" s="455">
        <f>SUM(F514:F525)</f>
        <v>14227</v>
      </c>
      <c r="G513" s="292">
        <f t="shared" si="195"/>
        <v>0.78997680466718212</v>
      </c>
      <c r="H513" s="489">
        <f t="shared" si="206"/>
        <v>0.69803635264598318</v>
      </c>
      <c r="I513" s="349"/>
      <c r="J513" s="347">
        <f>SUM(J514:J525)</f>
        <v>11239</v>
      </c>
      <c r="K513" s="291"/>
      <c r="L513" s="291">
        <f t="shared" si="203"/>
        <v>14227</v>
      </c>
      <c r="M513" s="348">
        <f t="shared" si="204"/>
        <v>0.78997680466718212</v>
      </c>
      <c r="N513" s="392"/>
      <c r="O513" s="430">
        <f>SUM(O514:O525)</f>
        <v>520</v>
      </c>
      <c r="P513" s="455">
        <f t="shared" ref="P513:AF513" si="207">SUM(P514:P525)</f>
        <v>1900</v>
      </c>
      <c r="Q513" s="455">
        <f t="shared" si="207"/>
        <v>4100</v>
      </c>
      <c r="R513" s="455">
        <f t="shared" si="207"/>
        <v>0</v>
      </c>
      <c r="S513" s="455">
        <f t="shared" si="207"/>
        <v>4719</v>
      </c>
      <c r="T513" s="455">
        <f t="shared" si="207"/>
        <v>0</v>
      </c>
      <c r="U513" s="455">
        <f t="shared" si="207"/>
        <v>0</v>
      </c>
      <c r="V513" s="455">
        <f t="shared" si="207"/>
        <v>0</v>
      </c>
      <c r="W513" s="350">
        <f t="shared" si="207"/>
        <v>0</v>
      </c>
      <c r="X513" s="349">
        <f t="shared" si="207"/>
        <v>1720</v>
      </c>
      <c r="Y513" s="455">
        <f t="shared" si="207"/>
        <v>1316</v>
      </c>
      <c r="Z513" s="455">
        <f t="shared" si="207"/>
        <v>6241</v>
      </c>
      <c r="AA513" s="455">
        <f t="shared" si="207"/>
        <v>0</v>
      </c>
      <c r="AB513" s="455">
        <f t="shared" si="207"/>
        <v>4950</v>
      </c>
      <c r="AC513" s="455">
        <f t="shared" si="207"/>
        <v>0</v>
      </c>
      <c r="AD513" s="455">
        <f t="shared" si="207"/>
        <v>0</v>
      </c>
      <c r="AE513" s="455">
        <f t="shared" si="207"/>
        <v>0</v>
      </c>
      <c r="AF513" s="350">
        <f t="shared" si="207"/>
        <v>0</v>
      </c>
      <c r="AG513" s="293"/>
      <c r="AH513" s="293"/>
      <c r="AI513" s="293"/>
      <c r="AJ513" s="293"/>
      <c r="AK513" s="293"/>
      <c r="AL513" s="293"/>
      <c r="AM513" s="293"/>
      <c r="AN513" s="293"/>
      <c r="AO513" s="293"/>
      <c r="AP513" s="293"/>
      <c r="AQ513" s="293"/>
      <c r="AR513" s="293"/>
      <c r="AS513" s="293"/>
      <c r="AT513" s="293"/>
      <c r="AU513" s="293"/>
      <c r="AV513" s="293"/>
      <c r="AW513" s="293"/>
      <c r="AX513" s="293"/>
      <c r="AY513" s="293"/>
      <c r="AZ513" s="293"/>
      <c r="BA513" s="293"/>
      <c r="BB513" s="293"/>
      <c r="BC513" s="293"/>
      <c r="BD513" s="293"/>
      <c r="BE513" s="293"/>
      <c r="BF513" s="293"/>
      <c r="BG513" s="293"/>
      <c r="BH513" s="293"/>
      <c r="BI513" s="293"/>
      <c r="BJ513" s="293"/>
      <c r="BK513" s="293"/>
      <c r="BL513" s="293"/>
      <c r="BM513" s="293"/>
      <c r="BN513" s="293"/>
      <c r="BO513" s="293"/>
      <c r="BP513" s="293"/>
      <c r="BQ513" s="293"/>
      <c r="BR513" s="293"/>
      <c r="BS513" s="293"/>
      <c r="BT513" s="293"/>
      <c r="BU513" s="293"/>
      <c r="BV513" s="293"/>
      <c r="BW513" s="293"/>
      <c r="BX513" s="293"/>
      <c r="BY513" s="293"/>
      <c r="BZ513" s="293"/>
      <c r="CA513" s="293"/>
      <c r="CB513" s="293"/>
      <c r="CC513" s="293"/>
      <c r="CD513" s="293"/>
      <c r="CE513" s="293"/>
      <c r="CF513" s="293"/>
      <c r="CG513" s="293"/>
      <c r="CH513" s="293"/>
      <c r="CI513" s="293"/>
      <c r="CJ513" s="293"/>
      <c r="CK513" s="293"/>
      <c r="CL513" s="293"/>
      <c r="CM513" s="293"/>
      <c r="CN513" s="293"/>
      <c r="CO513" s="293"/>
      <c r="CP513" s="293"/>
      <c r="CQ513" s="293"/>
      <c r="CR513" s="293"/>
      <c r="CS513" s="293"/>
      <c r="CT513" s="293"/>
      <c r="CU513" s="293"/>
      <c r="CV513" s="293"/>
      <c r="CW513" s="293"/>
      <c r="CX513" s="293"/>
      <c r="CY513" s="293"/>
    </row>
    <row r="514" spans="1:103" outlineLevel="1" x14ac:dyDescent="0.25">
      <c r="A514" s="352" t="s">
        <v>408</v>
      </c>
      <c r="B514" s="475" t="s">
        <v>389</v>
      </c>
      <c r="C514" s="431">
        <v>4014.63</v>
      </c>
      <c r="D514" s="119">
        <f>+J514</f>
        <v>2960</v>
      </c>
      <c r="E514" s="110">
        <v>3200.98</v>
      </c>
      <c r="F514" s="119">
        <f t="shared" ref="F514:F525" si="208">+L514</f>
        <v>2852</v>
      </c>
      <c r="G514" s="294">
        <f t="shared" si="195"/>
        <v>1.0378681626928472</v>
      </c>
      <c r="H514" s="490">
        <f t="shared" si="206"/>
        <v>0.71040170576117845</v>
      </c>
      <c r="I514" s="290"/>
      <c r="J514" s="119">
        <f t="shared" si="185"/>
        <v>2960</v>
      </c>
      <c r="K514" s="290"/>
      <c r="L514" s="290">
        <f t="shared" si="203"/>
        <v>2852</v>
      </c>
      <c r="M514" s="354">
        <f t="shared" si="204"/>
        <v>1.0378681626928472</v>
      </c>
      <c r="N514" s="353"/>
      <c r="O514" s="431"/>
      <c r="P514" s="119"/>
      <c r="Q514" s="119">
        <v>600</v>
      </c>
      <c r="R514" s="119"/>
      <c r="S514" s="119">
        <v>2360</v>
      </c>
      <c r="T514" s="119"/>
      <c r="U514" s="119"/>
      <c r="V514" s="119"/>
      <c r="W514" s="356"/>
      <c r="X514" s="290"/>
      <c r="Y514" s="119"/>
      <c r="Z514" s="119">
        <v>952</v>
      </c>
      <c r="AA514" s="119"/>
      <c r="AB514" s="119">
        <v>1900</v>
      </c>
      <c r="AC514" s="119"/>
      <c r="AD514" s="119"/>
      <c r="AE514" s="355"/>
      <c r="AF514" s="356"/>
    </row>
    <row r="515" spans="1:103" outlineLevel="1" x14ac:dyDescent="0.25">
      <c r="A515" s="352" t="s">
        <v>409</v>
      </c>
      <c r="B515" s="475" t="s">
        <v>390</v>
      </c>
      <c r="C515" s="431">
        <v>276</v>
      </c>
      <c r="D515" s="119">
        <f t="shared" ref="D515:D525" si="209">+J515</f>
        <v>200</v>
      </c>
      <c r="E515" s="110"/>
      <c r="F515" s="119">
        <f t="shared" si="208"/>
        <v>200</v>
      </c>
      <c r="G515" s="294">
        <f t="shared" si="195"/>
        <v>1</v>
      </c>
      <c r="H515" s="490">
        <f t="shared" si="206"/>
        <v>0.72463768115942029</v>
      </c>
      <c r="I515" s="290"/>
      <c r="J515" s="119">
        <f t="shared" si="185"/>
        <v>200</v>
      </c>
      <c r="K515" s="290"/>
      <c r="L515" s="290">
        <f t="shared" si="203"/>
        <v>200</v>
      </c>
      <c r="M515" s="354">
        <f t="shared" si="204"/>
        <v>1</v>
      </c>
      <c r="N515" s="353"/>
      <c r="O515" s="431"/>
      <c r="P515" s="119"/>
      <c r="Q515" s="119"/>
      <c r="R515" s="119"/>
      <c r="S515" s="119">
        <v>200</v>
      </c>
      <c r="T515" s="119"/>
      <c r="U515" s="119"/>
      <c r="V515" s="119"/>
      <c r="W515" s="356"/>
      <c r="X515" s="290"/>
      <c r="Y515" s="119"/>
      <c r="Z515" s="119"/>
      <c r="AA515" s="119"/>
      <c r="AB515" s="119">
        <v>200</v>
      </c>
      <c r="AC515" s="119"/>
      <c r="AD515" s="119"/>
      <c r="AE515" s="355"/>
      <c r="AF515" s="356"/>
    </row>
    <row r="516" spans="1:103" outlineLevel="1" x14ac:dyDescent="0.25">
      <c r="A516" s="352" t="s">
        <v>410</v>
      </c>
      <c r="B516" s="475" t="s">
        <v>1189</v>
      </c>
      <c r="C516" s="431">
        <v>899.45</v>
      </c>
      <c r="D516" s="119"/>
      <c r="E516" s="110">
        <v>25</v>
      </c>
      <c r="F516" s="119">
        <f t="shared" si="208"/>
        <v>0</v>
      </c>
      <c r="G516" s="294"/>
      <c r="H516" s="490">
        <f t="shared" si="206"/>
        <v>0</v>
      </c>
      <c r="I516" s="290"/>
      <c r="J516" s="119">
        <f t="shared" si="185"/>
        <v>0</v>
      </c>
      <c r="K516" s="290"/>
      <c r="L516" s="290">
        <f t="shared" si="203"/>
        <v>0</v>
      </c>
      <c r="M516" s="354"/>
      <c r="N516" s="353"/>
      <c r="O516" s="431"/>
      <c r="P516" s="119"/>
      <c r="Q516" s="119"/>
      <c r="R516" s="119"/>
      <c r="S516" s="119"/>
      <c r="T516" s="119"/>
      <c r="U516" s="119"/>
      <c r="V516" s="119"/>
      <c r="W516" s="356"/>
      <c r="X516" s="290"/>
      <c r="Y516" s="119"/>
      <c r="Z516" s="119"/>
      <c r="AA516" s="119"/>
      <c r="AB516" s="119">
        <v>0</v>
      </c>
      <c r="AC516" s="119"/>
      <c r="AD516" s="119"/>
      <c r="AE516" s="355"/>
      <c r="AF516" s="356"/>
    </row>
    <row r="517" spans="1:103" outlineLevel="1" x14ac:dyDescent="0.25">
      <c r="A517" s="352" t="s">
        <v>359</v>
      </c>
      <c r="B517" s="475" t="s">
        <v>1228</v>
      </c>
      <c r="C517" s="431">
        <v>34.020000000000003</v>
      </c>
      <c r="D517" s="119">
        <f t="shared" si="209"/>
        <v>859</v>
      </c>
      <c r="E517" s="110">
        <v>1478.95</v>
      </c>
      <c r="F517" s="119">
        <f t="shared" si="208"/>
        <v>400</v>
      </c>
      <c r="G517" s="294">
        <f t="shared" si="195"/>
        <v>2.1475</v>
      </c>
      <c r="H517" s="490">
        <f t="shared" si="206"/>
        <v>11.757789535567312</v>
      </c>
      <c r="I517" s="290"/>
      <c r="J517" s="119">
        <f t="shared" si="185"/>
        <v>859</v>
      </c>
      <c r="K517" s="290"/>
      <c r="L517" s="290">
        <f t="shared" si="203"/>
        <v>400</v>
      </c>
      <c r="M517" s="354">
        <f t="shared" ref="M517:M533" si="210">+J517/L517</f>
        <v>2.1475</v>
      </c>
      <c r="N517" s="353"/>
      <c r="O517" s="431"/>
      <c r="P517" s="119">
        <v>600</v>
      </c>
      <c r="Q517" s="119"/>
      <c r="R517" s="119"/>
      <c r="S517" s="119">
        <v>259</v>
      </c>
      <c r="T517" s="119"/>
      <c r="U517" s="119"/>
      <c r="V517" s="119"/>
      <c r="W517" s="356"/>
      <c r="X517" s="290"/>
      <c r="Y517" s="119"/>
      <c r="Z517" s="119"/>
      <c r="AA517" s="119"/>
      <c r="AB517" s="119">
        <v>400</v>
      </c>
      <c r="AC517" s="119"/>
      <c r="AD517" s="119"/>
      <c r="AE517" s="355"/>
      <c r="AF517" s="356"/>
    </row>
    <row r="518" spans="1:103" outlineLevel="1" x14ac:dyDescent="0.25">
      <c r="A518" s="352" t="s">
        <v>411</v>
      </c>
      <c r="B518" s="475" t="s">
        <v>878</v>
      </c>
      <c r="C518" s="431">
        <v>3811.45</v>
      </c>
      <c r="D518" s="119">
        <f t="shared" si="209"/>
        <v>3200</v>
      </c>
      <c r="E518" s="110">
        <v>410.4</v>
      </c>
      <c r="F518" s="119">
        <f t="shared" si="208"/>
        <v>4889</v>
      </c>
      <c r="G518" s="294">
        <f t="shared" si="195"/>
        <v>0.65453057885048072</v>
      </c>
      <c r="H518" s="490">
        <f t="shared" si="206"/>
        <v>1.2827139277702713</v>
      </c>
      <c r="I518" s="290"/>
      <c r="J518" s="119">
        <f t="shared" si="185"/>
        <v>3200</v>
      </c>
      <c r="K518" s="290"/>
      <c r="L518" s="290">
        <f t="shared" si="203"/>
        <v>4889</v>
      </c>
      <c r="M518" s="354">
        <f t="shared" si="210"/>
        <v>0.65453057885048072</v>
      </c>
      <c r="N518" s="353"/>
      <c r="O518" s="431"/>
      <c r="P518" s="119"/>
      <c r="Q518" s="119">
        <v>3200</v>
      </c>
      <c r="R518" s="119"/>
      <c r="S518" s="119"/>
      <c r="T518" s="119"/>
      <c r="U518" s="119"/>
      <c r="V518" s="119"/>
      <c r="W518" s="356"/>
      <c r="X518" s="290"/>
      <c r="Y518" s="119"/>
      <c r="Z518" s="119">
        <f>5091-202</f>
        <v>4889</v>
      </c>
      <c r="AA518" s="119"/>
      <c r="AB518" s="119"/>
      <c r="AC518" s="119"/>
      <c r="AD518" s="119"/>
      <c r="AE518" s="355"/>
      <c r="AF518" s="356"/>
    </row>
    <row r="519" spans="1:103" outlineLevel="1" x14ac:dyDescent="0.25">
      <c r="A519" s="352" t="s">
        <v>879</v>
      </c>
      <c r="B519" s="475" t="s">
        <v>991</v>
      </c>
      <c r="C519" s="431">
        <v>419.52</v>
      </c>
      <c r="D519" s="119">
        <f t="shared" si="209"/>
        <v>520</v>
      </c>
      <c r="E519" s="110">
        <v>326.66000000000003</v>
      </c>
      <c r="F519" s="119">
        <f t="shared" si="208"/>
        <v>520</v>
      </c>
      <c r="G519" s="294">
        <f t="shared" si="195"/>
        <v>1</v>
      </c>
      <c r="H519" s="490">
        <f t="shared" si="206"/>
        <v>1.2395118230358506</v>
      </c>
      <c r="I519" s="290"/>
      <c r="J519" s="119">
        <f t="shared" si="185"/>
        <v>520</v>
      </c>
      <c r="K519" s="290"/>
      <c r="L519" s="290">
        <f t="shared" si="203"/>
        <v>520</v>
      </c>
      <c r="M519" s="354">
        <f t="shared" si="210"/>
        <v>1</v>
      </c>
      <c r="N519" s="353"/>
      <c r="O519" s="431">
        <f>+X519</f>
        <v>520</v>
      </c>
      <c r="P519" s="119"/>
      <c r="Q519" s="119"/>
      <c r="R519" s="119"/>
      <c r="S519" s="119"/>
      <c r="T519" s="119"/>
      <c r="U519" s="119"/>
      <c r="V519" s="119"/>
      <c r="W519" s="356"/>
      <c r="X519" s="290">
        <v>520</v>
      </c>
      <c r="Y519" s="119"/>
      <c r="Z519" s="119"/>
      <c r="AA519" s="119"/>
      <c r="AB519" s="119"/>
      <c r="AC519" s="119"/>
      <c r="AD519" s="119"/>
      <c r="AE519" s="355"/>
      <c r="AF519" s="356"/>
    </row>
    <row r="520" spans="1:103" ht="15.75" customHeight="1" outlineLevel="1" x14ac:dyDescent="0.25">
      <c r="A520" s="352" t="s">
        <v>957</v>
      </c>
      <c r="B520" s="475" t="s">
        <v>79</v>
      </c>
      <c r="C520" s="431"/>
      <c r="D520" s="119">
        <f t="shared" si="209"/>
        <v>200</v>
      </c>
      <c r="E520" s="110">
        <v>227.24</v>
      </c>
      <c r="F520" s="119">
        <f t="shared" si="208"/>
        <v>100</v>
      </c>
      <c r="G520" s="294">
        <f t="shared" si="195"/>
        <v>2</v>
      </c>
      <c r="H520" s="490"/>
      <c r="I520" s="290"/>
      <c r="J520" s="119">
        <f t="shared" si="185"/>
        <v>200</v>
      </c>
      <c r="K520" s="290"/>
      <c r="L520" s="290">
        <f t="shared" si="203"/>
        <v>100</v>
      </c>
      <c r="M520" s="354">
        <f t="shared" si="210"/>
        <v>2</v>
      </c>
      <c r="N520" s="353"/>
      <c r="O520" s="431"/>
      <c r="P520" s="119"/>
      <c r="Q520" s="119"/>
      <c r="R520" s="119"/>
      <c r="S520" s="119">
        <v>200</v>
      </c>
      <c r="T520" s="119"/>
      <c r="U520" s="119"/>
      <c r="V520" s="119"/>
      <c r="W520" s="356"/>
      <c r="X520" s="290"/>
      <c r="Y520" s="119"/>
      <c r="Z520" s="119"/>
      <c r="AA520" s="119"/>
      <c r="AB520" s="119">
        <v>100</v>
      </c>
      <c r="AC520" s="119"/>
      <c r="AD520" s="119"/>
      <c r="AE520" s="355"/>
      <c r="AF520" s="356"/>
    </row>
    <row r="521" spans="1:103" ht="15.75" customHeight="1" outlineLevel="1" x14ac:dyDescent="0.25">
      <c r="A521" s="352" t="s">
        <v>1229</v>
      </c>
      <c r="B521" s="475" t="s">
        <v>1230</v>
      </c>
      <c r="C521" s="431"/>
      <c r="D521" s="119">
        <f t="shared" si="209"/>
        <v>500</v>
      </c>
      <c r="E521" s="110">
        <v>426.46</v>
      </c>
      <c r="F521" s="119">
        <f t="shared" si="208"/>
        <v>700</v>
      </c>
      <c r="G521" s="294">
        <f t="shared" si="195"/>
        <v>0.7142857142857143</v>
      </c>
      <c r="H521" s="490"/>
      <c r="I521" s="290"/>
      <c r="J521" s="119">
        <f t="shared" si="185"/>
        <v>500</v>
      </c>
      <c r="K521" s="290"/>
      <c r="L521" s="290">
        <f t="shared" si="203"/>
        <v>700</v>
      </c>
      <c r="M521" s="354">
        <f t="shared" si="210"/>
        <v>0.7142857142857143</v>
      </c>
      <c r="N521" s="353"/>
      <c r="O521" s="431"/>
      <c r="P521" s="119"/>
      <c r="Q521" s="119"/>
      <c r="R521" s="119"/>
      <c r="S521" s="119">
        <v>500</v>
      </c>
      <c r="T521" s="119"/>
      <c r="U521" s="119"/>
      <c r="V521" s="119"/>
      <c r="W521" s="356"/>
      <c r="X521" s="290"/>
      <c r="Y521" s="119"/>
      <c r="Z521" s="119"/>
      <c r="AA521" s="119"/>
      <c r="AB521" s="119">
        <v>700</v>
      </c>
      <c r="AC521" s="119"/>
      <c r="AD521" s="119"/>
      <c r="AE521" s="355"/>
      <c r="AF521" s="356"/>
    </row>
    <row r="522" spans="1:103" ht="15.75" customHeight="1" outlineLevel="1" x14ac:dyDescent="0.25">
      <c r="A522" s="352" t="s">
        <v>1123</v>
      </c>
      <c r="B522" s="475" t="s">
        <v>1231</v>
      </c>
      <c r="C522" s="431">
        <v>10926.39</v>
      </c>
      <c r="D522" s="119">
        <f t="shared" si="209"/>
        <v>300</v>
      </c>
      <c r="E522" s="110">
        <v>221.42</v>
      </c>
      <c r="F522" s="119">
        <f t="shared" si="208"/>
        <v>300</v>
      </c>
      <c r="G522" s="294">
        <f t="shared" si="195"/>
        <v>1</v>
      </c>
      <c r="H522" s="490">
        <f>+F522/C522</f>
        <v>2.745646091710071E-2</v>
      </c>
      <c r="I522" s="290"/>
      <c r="J522" s="119">
        <f t="shared" si="185"/>
        <v>300</v>
      </c>
      <c r="K522" s="290"/>
      <c r="L522" s="290">
        <f t="shared" si="203"/>
        <v>300</v>
      </c>
      <c r="M522" s="354">
        <f t="shared" si="210"/>
        <v>1</v>
      </c>
      <c r="N522" s="353"/>
      <c r="O522" s="431"/>
      <c r="P522" s="119"/>
      <c r="Q522" s="119"/>
      <c r="R522" s="119"/>
      <c r="S522" s="119">
        <f>+AB522</f>
        <v>300</v>
      </c>
      <c r="T522" s="119"/>
      <c r="U522" s="119"/>
      <c r="V522" s="119"/>
      <c r="W522" s="356"/>
      <c r="X522" s="290"/>
      <c r="Y522" s="119"/>
      <c r="Z522" s="119"/>
      <c r="AA522" s="119"/>
      <c r="AB522" s="119">
        <v>300</v>
      </c>
      <c r="AC522" s="119"/>
      <c r="AD522" s="119"/>
      <c r="AE522" s="355"/>
      <c r="AF522" s="356"/>
    </row>
    <row r="523" spans="1:103" outlineLevel="1" x14ac:dyDescent="0.25">
      <c r="A523" s="352" t="s">
        <v>1232</v>
      </c>
      <c r="B523" s="475" t="s">
        <v>322</v>
      </c>
      <c r="C523" s="431"/>
      <c r="D523" s="119">
        <f t="shared" si="209"/>
        <v>1000</v>
      </c>
      <c r="E523" s="110">
        <v>3980.37</v>
      </c>
      <c r="F523" s="119">
        <f t="shared" si="208"/>
        <v>1000</v>
      </c>
      <c r="G523" s="294">
        <f t="shared" si="195"/>
        <v>1</v>
      </c>
      <c r="H523" s="490"/>
      <c r="I523" s="290"/>
      <c r="J523" s="119">
        <f t="shared" si="185"/>
        <v>1000</v>
      </c>
      <c r="K523" s="290"/>
      <c r="L523" s="290">
        <f t="shared" si="203"/>
        <v>1000</v>
      </c>
      <c r="M523" s="354">
        <f t="shared" si="210"/>
        <v>1</v>
      </c>
      <c r="N523" s="353"/>
      <c r="O523" s="431"/>
      <c r="P523" s="119"/>
      <c r="Q523" s="119">
        <v>300</v>
      </c>
      <c r="R523" s="119"/>
      <c r="S523" s="119">
        <v>700</v>
      </c>
      <c r="T523" s="119"/>
      <c r="U523" s="119"/>
      <c r="V523" s="119"/>
      <c r="W523" s="356"/>
      <c r="X523" s="290"/>
      <c r="Y523" s="119"/>
      <c r="Z523" s="119">
        <v>200</v>
      </c>
      <c r="AA523" s="119"/>
      <c r="AB523" s="119">
        <v>800</v>
      </c>
      <c r="AC523" s="119"/>
      <c r="AD523" s="119"/>
      <c r="AE523" s="355"/>
      <c r="AF523" s="356"/>
    </row>
    <row r="524" spans="1:103" outlineLevel="1" x14ac:dyDescent="0.25">
      <c r="A524" s="352" t="s">
        <v>1309</v>
      </c>
      <c r="B524" s="475" t="s">
        <v>1407</v>
      </c>
      <c r="C524" s="431"/>
      <c r="D524" s="119"/>
      <c r="E524" s="110">
        <v>1236.54</v>
      </c>
      <c r="F524" s="119">
        <f t="shared" si="208"/>
        <v>1400</v>
      </c>
      <c r="G524" s="294">
        <f t="shared" si="195"/>
        <v>0</v>
      </c>
      <c r="H524" s="490"/>
      <c r="I524" s="290"/>
      <c r="J524" s="119">
        <f t="shared" si="185"/>
        <v>0</v>
      </c>
      <c r="K524" s="290"/>
      <c r="L524" s="290">
        <f t="shared" si="203"/>
        <v>1400</v>
      </c>
      <c r="M524" s="354">
        <f t="shared" si="210"/>
        <v>0</v>
      </c>
      <c r="N524" s="353"/>
      <c r="O524" s="431"/>
      <c r="P524" s="119"/>
      <c r="Q524" s="119"/>
      <c r="R524" s="119"/>
      <c r="S524" s="119"/>
      <c r="T524" s="119"/>
      <c r="U524" s="119"/>
      <c r="V524" s="119"/>
      <c r="W524" s="356"/>
      <c r="X524" s="290">
        <f>600+600</f>
        <v>1200</v>
      </c>
      <c r="Y524" s="119"/>
      <c r="Z524" s="119">
        <v>200</v>
      </c>
      <c r="AA524" s="119"/>
      <c r="AB524" s="119"/>
      <c r="AC524" s="119"/>
      <c r="AD524" s="119"/>
      <c r="AE524" s="355"/>
      <c r="AF524" s="356"/>
    </row>
    <row r="525" spans="1:103" outlineLevel="1" x14ac:dyDescent="0.25">
      <c r="A525" s="352" t="s">
        <v>1233</v>
      </c>
      <c r="B525" s="475" t="s">
        <v>47</v>
      </c>
      <c r="C525" s="431"/>
      <c r="D525" s="119">
        <f t="shared" si="209"/>
        <v>1500</v>
      </c>
      <c r="E525" s="110">
        <v>1660.82</v>
      </c>
      <c r="F525" s="119">
        <f t="shared" si="208"/>
        <v>1866</v>
      </c>
      <c r="G525" s="294">
        <f t="shared" si="195"/>
        <v>0.8038585209003215</v>
      </c>
      <c r="H525" s="490"/>
      <c r="I525" s="290"/>
      <c r="J525" s="119">
        <f t="shared" si="185"/>
        <v>1500</v>
      </c>
      <c r="K525" s="290"/>
      <c r="L525" s="290">
        <f t="shared" si="203"/>
        <v>1866</v>
      </c>
      <c r="M525" s="354">
        <f t="shared" si="210"/>
        <v>0.8038585209003215</v>
      </c>
      <c r="N525" s="353"/>
      <c r="O525" s="431"/>
      <c r="P525" s="119">
        <v>1300</v>
      </c>
      <c r="Q525" s="119"/>
      <c r="R525" s="119"/>
      <c r="S525" s="119">
        <v>200</v>
      </c>
      <c r="T525" s="119"/>
      <c r="U525" s="119"/>
      <c r="V525" s="119"/>
      <c r="W525" s="356"/>
      <c r="X525" s="290"/>
      <c r="Y525" s="119">
        <v>1316</v>
      </c>
      <c r="Z525" s="119"/>
      <c r="AA525" s="119"/>
      <c r="AB525" s="119">
        <f>950-200-200</f>
        <v>550</v>
      </c>
      <c r="AC525" s="119"/>
      <c r="AD525" s="119"/>
      <c r="AE525" s="355"/>
      <c r="AF525" s="356"/>
    </row>
    <row r="526" spans="1:103" s="351" customFormat="1" ht="15.75" x14ac:dyDescent="0.25">
      <c r="A526" s="345" t="s">
        <v>413</v>
      </c>
      <c r="B526" s="474" t="s">
        <v>286</v>
      </c>
      <c r="C526" s="430">
        <f>SUM(C527:C530)</f>
        <v>6138.27</v>
      </c>
      <c r="D526" s="455">
        <f>SUM(D527:D530)</f>
        <v>4377</v>
      </c>
      <c r="E526" s="274">
        <f>SUM(E527:E530)</f>
        <v>4366.68</v>
      </c>
      <c r="F526" s="455">
        <f>SUM(F527:F530)</f>
        <v>5445</v>
      </c>
      <c r="G526" s="292">
        <f t="shared" si="195"/>
        <v>0.8038567493112948</v>
      </c>
      <c r="H526" s="489">
        <f>+F526/C526</f>
        <v>0.88705775405773934</v>
      </c>
      <c r="I526" s="349"/>
      <c r="J526" s="347">
        <f>+J527+J528+J529+J530</f>
        <v>4377</v>
      </c>
      <c r="K526" s="291"/>
      <c r="L526" s="291">
        <f t="shared" si="203"/>
        <v>5445</v>
      </c>
      <c r="M526" s="348">
        <f t="shared" si="210"/>
        <v>0.8038567493112948</v>
      </c>
      <c r="N526" s="392"/>
      <c r="O526" s="430">
        <f>+O527+O528+O529+O530</f>
        <v>0</v>
      </c>
      <c r="P526" s="455">
        <f t="shared" ref="P526:AF526" si="211">SUM(P527:P530)</f>
        <v>0</v>
      </c>
      <c r="Q526" s="455">
        <f t="shared" si="211"/>
        <v>3300</v>
      </c>
      <c r="R526" s="455">
        <f t="shared" si="211"/>
        <v>0</v>
      </c>
      <c r="S526" s="455">
        <f t="shared" si="211"/>
        <v>700</v>
      </c>
      <c r="T526" s="455">
        <f t="shared" si="211"/>
        <v>0</v>
      </c>
      <c r="U526" s="455">
        <f t="shared" si="211"/>
        <v>0</v>
      </c>
      <c r="V526" s="455">
        <f t="shared" si="211"/>
        <v>0</v>
      </c>
      <c r="W526" s="350">
        <f t="shared" si="211"/>
        <v>377</v>
      </c>
      <c r="X526" s="349">
        <f t="shared" si="211"/>
        <v>0</v>
      </c>
      <c r="Y526" s="455">
        <f t="shared" si="211"/>
        <v>0</v>
      </c>
      <c r="Z526" s="455">
        <f t="shared" si="211"/>
        <v>4799</v>
      </c>
      <c r="AA526" s="455">
        <f t="shared" si="211"/>
        <v>0</v>
      </c>
      <c r="AB526" s="455">
        <f t="shared" si="211"/>
        <v>269</v>
      </c>
      <c r="AC526" s="455">
        <f t="shared" si="211"/>
        <v>0</v>
      </c>
      <c r="AD526" s="455">
        <f t="shared" si="211"/>
        <v>0</v>
      </c>
      <c r="AE526" s="455">
        <f t="shared" si="211"/>
        <v>0</v>
      </c>
      <c r="AF526" s="350">
        <f t="shared" si="211"/>
        <v>377</v>
      </c>
      <c r="AG526" s="293"/>
      <c r="AH526" s="293"/>
      <c r="AI526" s="293"/>
      <c r="AJ526" s="293"/>
      <c r="AK526" s="293"/>
      <c r="AL526" s="293"/>
      <c r="AM526" s="293"/>
      <c r="AN526" s="293"/>
      <c r="AO526" s="293"/>
      <c r="AP526" s="293"/>
      <c r="AQ526" s="293"/>
      <c r="AR526" s="293"/>
      <c r="AS526" s="293"/>
      <c r="AT526" s="293"/>
      <c r="AU526" s="293"/>
      <c r="AV526" s="293"/>
      <c r="AW526" s="293"/>
      <c r="AX526" s="293"/>
      <c r="AY526" s="293"/>
      <c r="AZ526" s="293"/>
      <c r="BA526" s="293"/>
      <c r="BB526" s="293"/>
      <c r="BC526" s="293"/>
      <c r="BD526" s="293"/>
      <c r="BE526" s="293"/>
      <c r="BF526" s="293"/>
      <c r="BG526" s="293"/>
      <c r="BH526" s="293"/>
      <c r="BI526" s="293"/>
      <c r="BJ526" s="293"/>
      <c r="BK526" s="293"/>
      <c r="BL526" s="293"/>
      <c r="BM526" s="293"/>
      <c r="BN526" s="293"/>
      <c r="BO526" s="293"/>
      <c r="BP526" s="293"/>
      <c r="BQ526" s="293"/>
      <c r="BR526" s="293"/>
      <c r="BS526" s="293"/>
      <c r="BT526" s="293"/>
      <c r="BU526" s="293"/>
      <c r="BV526" s="293"/>
      <c r="BW526" s="293"/>
      <c r="BX526" s="293"/>
      <c r="BY526" s="293"/>
      <c r="BZ526" s="293"/>
      <c r="CA526" s="293"/>
      <c r="CB526" s="293"/>
      <c r="CC526" s="293"/>
      <c r="CD526" s="293"/>
      <c r="CE526" s="293"/>
      <c r="CF526" s="293"/>
      <c r="CG526" s="293"/>
      <c r="CH526" s="293"/>
      <c r="CI526" s="293"/>
      <c r="CJ526" s="293"/>
      <c r="CK526" s="293"/>
      <c r="CL526" s="293"/>
      <c r="CM526" s="293"/>
      <c r="CN526" s="293"/>
      <c r="CO526" s="293"/>
      <c r="CP526" s="293"/>
      <c r="CQ526" s="293"/>
      <c r="CR526" s="293"/>
      <c r="CS526" s="293"/>
      <c r="CT526" s="293"/>
      <c r="CU526" s="293"/>
      <c r="CV526" s="293"/>
      <c r="CW526" s="293"/>
      <c r="CX526" s="293"/>
      <c r="CY526" s="293"/>
    </row>
    <row r="527" spans="1:103" outlineLevel="1" x14ac:dyDescent="0.25">
      <c r="A527" s="352" t="s">
        <v>414</v>
      </c>
      <c r="B527" s="475" t="s">
        <v>880</v>
      </c>
      <c r="C527" s="431">
        <v>4147.09</v>
      </c>
      <c r="D527" s="119">
        <f>+J527</f>
        <v>2677</v>
      </c>
      <c r="E527" s="110">
        <v>2586.6799999999998</v>
      </c>
      <c r="F527" s="119">
        <f>+L527</f>
        <v>3377</v>
      </c>
      <c r="G527" s="294">
        <f t="shared" si="195"/>
        <v>0.79271542789458094</v>
      </c>
      <c r="H527" s="490">
        <f>+F527/C527</f>
        <v>0.81430593500502757</v>
      </c>
      <c r="I527" s="290"/>
      <c r="J527" s="119">
        <f t="shared" si="185"/>
        <v>2677</v>
      </c>
      <c r="K527" s="290"/>
      <c r="L527" s="290">
        <f t="shared" si="203"/>
        <v>3377</v>
      </c>
      <c r="M527" s="354">
        <f t="shared" si="210"/>
        <v>0.79271542789458094</v>
      </c>
      <c r="N527" s="353"/>
      <c r="O527" s="431"/>
      <c r="P527" s="119"/>
      <c r="Q527" s="119">
        <v>2300</v>
      </c>
      <c r="R527" s="119"/>
      <c r="S527" s="119"/>
      <c r="T527" s="119"/>
      <c r="U527" s="119"/>
      <c r="V527" s="119"/>
      <c r="W527" s="356">
        <v>377</v>
      </c>
      <c r="X527" s="290"/>
      <c r="Y527" s="119"/>
      <c r="Z527" s="119">
        <v>3000</v>
      </c>
      <c r="AA527" s="119"/>
      <c r="AB527" s="119"/>
      <c r="AC527" s="119"/>
      <c r="AD527" s="119"/>
      <c r="AE527" s="355"/>
      <c r="AF527" s="356">
        <v>377</v>
      </c>
    </row>
    <row r="528" spans="1:103" outlineLevel="1" x14ac:dyDescent="0.25">
      <c r="A528" s="374" t="s">
        <v>1124</v>
      </c>
      <c r="B528" s="475" t="s">
        <v>1234</v>
      </c>
      <c r="C528" s="431">
        <v>271.20999999999998</v>
      </c>
      <c r="D528" s="119">
        <f>+J528</f>
        <v>200</v>
      </c>
      <c r="E528" s="110">
        <v>280</v>
      </c>
      <c r="F528" s="119">
        <f>+L528</f>
        <v>469</v>
      </c>
      <c r="G528" s="294">
        <f t="shared" si="195"/>
        <v>0.42643923240938164</v>
      </c>
      <c r="H528" s="490">
        <f>+F528/C528</f>
        <v>1.729287268168578</v>
      </c>
      <c r="I528" s="290"/>
      <c r="J528" s="119">
        <f t="shared" ref="J528:J591" si="212">+O528+P528+Q528+R528+S528+T528+U528+V528+W528</f>
        <v>200</v>
      </c>
      <c r="K528" s="290"/>
      <c r="L528" s="290">
        <f t="shared" si="203"/>
        <v>469</v>
      </c>
      <c r="M528" s="354">
        <f t="shared" si="210"/>
        <v>0.42643923240938164</v>
      </c>
      <c r="N528" s="353"/>
      <c r="O528" s="431"/>
      <c r="P528" s="119"/>
      <c r="Q528" s="119"/>
      <c r="R528" s="119"/>
      <c r="S528" s="119">
        <v>200</v>
      </c>
      <c r="T528" s="119"/>
      <c r="U528" s="119"/>
      <c r="V528" s="119"/>
      <c r="W528" s="356"/>
      <c r="X528" s="290"/>
      <c r="Y528" s="119"/>
      <c r="Z528" s="119">
        <v>200</v>
      </c>
      <c r="AA528" s="119"/>
      <c r="AB528" s="119">
        <f>300-31</f>
        <v>269</v>
      </c>
      <c r="AC528" s="119"/>
      <c r="AD528" s="119"/>
      <c r="AE528" s="355"/>
      <c r="AF528" s="356"/>
    </row>
    <row r="529" spans="1:103" outlineLevel="1" x14ac:dyDescent="0.25">
      <c r="A529" s="352" t="s">
        <v>1125</v>
      </c>
      <c r="B529" s="475" t="s">
        <v>381</v>
      </c>
      <c r="C529" s="431">
        <v>1719.97</v>
      </c>
      <c r="D529" s="119">
        <f>+J529</f>
        <v>1500</v>
      </c>
      <c r="E529" s="110">
        <v>1500</v>
      </c>
      <c r="F529" s="119">
        <f>+L529</f>
        <v>1500</v>
      </c>
      <c r="G529" s="294">
        <f t="shared" si="195"/>
        <v>1</v>
      </c>
      <c r="H529" s="490">
        <f>+F529/C529</f>
        <v>0.87210823444594965</v>
      </c>
      <c r="I529" s="290"/>
      <c r="J529" s="119">
        <f t="shared" si="212"/>
        <v>1500</v>
      </c>
      <c r="K529" s="290"/>
      <c r="L529" s="290">
        <f t="shared" si="203"/>
        <v>1500</v>
      </c>
      <c r="M529" s="354">
        <f t="shared" si="210"/>
        <v>1</v>
      </c>
      <c r="N529" s="353"/>
      <c r="O529" s="431"/>
      <c r="P529" s="119"/>
      <c r="Q529" s="119">
        <v>1000</v>
      </c>
      <c r="R529" s="119"/>
      <c r="S529" s="119">
        <v>500</v>
      </c>
      <c r="T529" s="119"/>
      <c r="U529" s="119"/>
      <c r="V529" s="119"/>
      <c r="W529" s="356"/>
      <c r="X529" s="290"/>
      <c r="Y529" s="119"/>
      <c r="Z529" s="119">
        <v>1500</v>
      </c>
      <c r="AA529" s="119"/>
      <c r="AB529" s="119"/>
      <c r="AC529" s="119"/>
      <c r="AD529" s="119"/>
      <c r="AE529" s="355"/>
      <c r="AF529" s="356"/>
    </row>
    <row r="530" spans="1:103" outlineLevel="1" x14ac:dyDescent="0.25">
      <c r="A530" s="352" t="s">
        <v>1126</v>
      </c>
      <c r="B530" s="475" t="s">
        <v>47</v>
      </c>
      <c r="C530" s="431"/>
      <c r="D530" s="119"/>
      <c r="E530" s="110"/>
      <c r="F530" s="119">
        <f>+L530</f>
        <v>99</v>
      </c>
      <c r="G530" s="294">
        <f t="shared" si="195"/>
        <v>0</v>
      </c>
      <c r="H530" s="490"/>
      <c r="I530" s="290"/>
      <c r="J530" s="119">
        <f t="shared" si="212"/>
        <v>0</v>
      </c>
      <c r="K530" s="290"/>
      <c r="L530" s="290">
        <f t="shared" si="203"/>
        <v>99</v>
      </c>
      <c r="M530" s="354">
        <f t="shared" si="210"/>
        <v>0</v>
      </c>
      <c r="N530" s="353"/>
      <c r="O530" s="431"/>
      <c r="P530" s="119"/>
      <c r="Q530" s="119"/>
      <c r="R530" s="119"/>
      <c r="S530" s="119"/>
      <c r="T530" s="119"/>
      <c r="U530" s="119"/>
      <c r="V530" s="119"/>
      <c r="W530" s="356"/>
      <c r="X530" s="290"/>
      <c r="Y530" s="119"/>
      <c r="Z530" s="119">
        <v>99</v>
      </c>
      <c r="AA530" s="119"/>
      <c r="AB530" s="119"/>
      <c r="AC530" s="119"/>
      <c r="AD530" s="119"/>
      <c r="AE530" s="355"/>
      <c r="AF530" s="356"/>
    </row>
    <row r="531" spans="1:103" s="351" customFormat="1" ht="15.75" x14ac:dyDescent="0.25">
      <c r="A531" s="345" t="s">
        <v>950</v>
      </c>
      <c r="B531" s="474" t="s">
        <v>495</v>
      </c>
      <c r="C531" s="430">
        <f>+C532</f>
        <v>7000</v>
      </c>
      <c r="D531" s="455">
        <f>+D532</f>
        <v>7000</v>
      </c>
      <c r="E531" s="274">
        <f>+E532</f>
        <v>7000</v>
      </c>
      <c r="F531" s="455">
        <f>+F532</f>
        <v>7000</v>
      </c>
      <c r="G531" s="292">
        <f t="shared" si="195"/>
        <v>1</v>
      </c>
      <c r="H531" s="489">
        <f>+F531/C531</f>
        <v>1</v>
      </c>
      <c r="I531" s="349"/>
      <c r="J531" s="347">
        <f t="shared" si="212"/>
        <v>7000</v>
      </c>
      <c r="K531" s="291"/>
      <c r="L531" s="291">
        <f t="shared" si="203"/>
        <v>7000</v>
      </c>
      <c r="M531" s="348">
        <f t="shared" si="210"/>
        <v>1</v>
      </c>
      <c r="N531" s="392"/>
      <c r="O531" s="430">
        <f>+O532</f>
        <v>0</v>
      </c>
      <c r="P531" s="455">
        <f t="shared" ref="P531:AF531" si="213">SUM(P532:P532)</f>
        <v>0</v>
      </c>
      <c r="Q531" s="455">
        <f t="shared" si="213"/>
        <v>500</v>
      </c>
      <c r="R531" s="455">
        <f t="shared" si="213"/>
        <v>0</v>
      </c>
      <c r="S531" s="455">
        <f t="shared" si="213"/>
        <v>6500</v>
      </c>
      <c r="T531" s="455">
        <f t="shared" si="213"/>
        <v>0</v>
      </c>
      <c r="U531" s="455">
        <f t="shared" si="213"/>
        <v>0</v>
      </c>
      <c r="V531" s="455">
        <f t="shared" si="213"/>
        <v>0</v>
      </c>
      <c r="W531" s="350">
        <f t="shared" si="213"/>
        <v>0</v>
      </c>
      <c r="X531" s="349">
        <f t="shared" si="213"/>
        <v>0</v>
      </c>
      <c r="Y531" s="455">
        <f t="shared" si="213"/>
        <v>0</v>
      </c>
      <c r="Z531" s="455">
        <f t="shared" si="213"/>
        <v>500</v>
      </c>
      <c r="AA531" s="455">
        <f t="shared" si="213"/>
        <v>0</v>
      </c>
      <c r="AB531" s="455">
        <f t="shared" si="213"/>
        <v>6500</v>
      </c>
      <c r="AC531" s="455">
        <f t="shared" si="213"/>
        <v>0</v>
      </c>
      <c r="AD531" s="455">
        <f t="shared" si="213"/>
        <v>0</v>
      </c>
      <c r="AE531" s="455">
        <f t="shared" si="213"/>
        <v>0</v>
      </c>
      <c r="AF531" s="350">
        <f t="shared" si="213"/>
        <v>0</v>
      </c>
      <c r="AG531" s="293"/>
      <c r="AH531" s="293"/>
      <c r="AI531" s="293"/>
      <c r="AJ531" s="293"/>
      <c r="AK531" s="293"/>
      <c r="AL531" s="293"/>
      <c r="AM531" s="293"/>
      <c r="AN531" s="293"/>
      <c r="AO531" s="293"/>
      <c r="AP531" s="293"/>
      <c r="AQ531" s="293"/>
      <c r="AR531" s="293"/>
      <c r="AS531" s="293"/>
      <c r="AT531" s="293"/>
      <c r="AU531" s="293"/>
      <c r="AV531" s="293"/>
      <c r="AW531" s="293"/>
      <c r="AX531" s="293"/>
      <c r="AY531" s="293"/>
      <c r="AZ531" s="293"/>
      <c r="BA531" s="293"/>
      <c r="BB531" s="293"/>
      <c r="BC531" s="293"/>
      <c r="BD531" s="293"/>
      <c r="BE531" s="293"/>
      <c r="BF531" s="293"/>
      <c r="BG531" s="293"/>
      <c r="BH531" s="293"/>
      <c r="BI531" s="293"/>
      <c r="BJ531" s="293"/>
      <c r="BK531" s="293"/>
      <c r="BL531" s="293"/>
      <c r="BM531" s="293"/>
      <c r="BN531" s="293"/>
      <c r="BO531" s="293"/>
      <c r="BP531" s="293"/>
      <c r="BQ531" s="293"/>
      <c r="BR531" s="293"/>
      <c r="BS531" s="293"/>
      <c r="BT531" s="293"/>
      <c r="BU531" s="293"/>
      <c r="BV531" s="293"/>
      <c r="BW531" s="293"/>
      <c r="BX531" s="293"/>
      <c r="BY531" s="293"/>
      <c r="BZ531" s="293"/>
      <c r="CA531" s="293"/>
      <c r="CB531" s="293"/>
      <c r="CC531" s="293"/>
      <c r="CD531" s="293"/>
      <c r="CE531" s="293"/>
      <c r="CF531" s="293"/>
      <c r="CG531" s="293"/>
      <c r="CH531" s="293"/>
      <c r="CI531" s="293"/>
      <c r="CJ531" s="293"/>
      <c r="CK531" s="293"/>
      <c r="CL531" s="293"/>
      <c r="CM531" s="293"/>
      <c r="CN531" s="293"/>
      <c r="CO531" s="293"/>
      <c r="CP531" s="293"/>
      <c r="CQ531" s="293"/>
      <c r="CR531" s="293"/>
      <c r="CS531" s="293"/>
      <c r="CT531" s="293"/>
      <c r="CU531" s="293"/>
      <c r="CV531" s="293"/>
      <c r="CW531" s="293"/>
      <c r="CX531" s="293"/>
      <c r="CY531" s="293"/>
    </row>
    <row r="532" spans="1:103" outlineLevel="1" x14ac:dyDescent="0.25">
      <c r="A532" s="352" t="s">
        <v>1127</v>
      </c>
      <c r="B532" s="475" t="s">
        <v>495</v>
      </c>
      <c r="C532" s="431">
        <v>7000</v>
      </c>
      <c r="D532" s="119">
        <f>+J532</f>
        <v>7000</v>
      </c>
      <c r="E532" s="110">
        <v>7000</v>
      </c>
      <c r="F532" s="119">
        <f>+L532</f>
        <v>7000</v>
      </c>
      <c r="G532" s="294">
        <f t="shared" si="195"/>
        <v>1</v>
      </c>
      <c r="H532" s="490">
        <f>+F532/C532</f>
        <v>1</v>
      </c>
      <c r="I532" s="290"/>
      <c r="J532" s="119">
        <f t="shared" si="212"/>
        <v>7000</v>
      </c>
      <c r="K532" s="290"/>
      <c r="L532" s="290">
        <f t="shared" si="203"/>
        <v>7000</v>
      </c>
      <c r="M532" s="354">
        <f t="shared" si="210"/>
        <v>1</v>
      </c>
      <c r="N532" s="353"/>
      <c r="O532" s="431"/>
      <c r="P532" s="119"/>
      <c r="Q532" s="119">
        <v>500</v>
      </c>
      <c r="R532" s="119"/>
      <c r="S532" s="119">
        <f>+AB532</f>
        <v>6500</v>
      </c>
      <c r="T532" s="119"/>
      <c r="U532" s="119"/>
      <c r="V532" s="119"/>
      <c r="W532" s="356"/>
      <c r="X532" s="290"/>
      <c r="Y532" s="119"/>
      <c r="Z532" s="119">
        <f>298+202</f>
        <v>500</v>
      </c>
      <c r="AA532" s="119"/>
      <c r="AB532" s="119">
        <v>6500</v>
      </c>
      <c r="AC532" s="119"/>
      <c r="AD532" s="119"/>
      <c r="AE532" s="119"/>
      <c r="AF532" s="356"/>
    </row>
    <row r="533" spans="1:103" s="344" customFormat="1" ht="21" x14ac:dyDescent="0.35">
      <c r="A533" s="338" t="s">
        <v>415</v>
      </c>
      <c r="B533" s="473" t="s">
        <v>392</v>
      </c>
      <c r="C533" s="429">
        <f>+C535+C541+C546+C561+C567</f>
        <v>99510.960000000021</v>
      </c>
      <c r="D533" s="339">
        <f>+D535+D541+D546+D561+D567</f>
        <v>68570.02</v>
      </c>
      <c r="E533" s="501">
        <f>+E535+E541+E546+E561+E567</f>
        <v>83775.56</v>
      </c>
      <c r="F533" s="339">
        <f>+F535+F541+F546+F561+F567</f>
        <v>91497</v>
      </c>
      <c r="G533" s="340">
        <f t="shared" si="195"/>
        <v>0.74942369695181266</v>
      </c>
      <c r="H533" s="488">
        <f>+F533/C533</f>
        <v>0.91946655926141185</v>
      </c>
      <c r="I533" s="288">
        <v>119847</v>
      </c>
      <c r="J533" s="339">
        <f t="shared" si="212"/>
        <v>48300</v>
      </c>
      <c r="K533" s="288">
        <v>72176.639999999999</v>
      </c>
      <c r="L533" s="288">
        <f t="shared" si="203"/>
        <v>91497</v>
      </c>
      <c r="M533" s="342">
        <f t="shared" si="210"/>
        <v>0.52788616020197388</v>
      </c>
      <c r="N533" s="341">
        <f>+L533/I533</f>
        <v>0.76344839670579989</v>
      </c>
      <c r="O533" s="429">
        <f t="shared" ref="O533:W533" si="214">O535+O541+O546+O561+O567</f>
        <v>6800</v>
      </c>
      <c r="P533" s="339">
        <f t="shared" si="214"/>
        <v>22800</v>
      </c>
      <c r="Q533" s="339">
        <f t="shared" si="214"/>
        <v>19200</v>
      </c>
      <c r="R533" s="339">
        <f t="shared" si="214"/>
        <v>0</v>
      </c>
      <c r="S533" s="339">
        <f t="shared" si="214"/>
        <v>0</v>
      </c>
      <c r="T533" s="339">
        <f t="shared" si="214"/>
        <v>5500</v>
      </c>
      <c r="U533" s="339">
        <f t="shared" si="214"/>
        <v>0</v>
      </c>
      <c r="V533" s="339">
        <f t="shared" si="214"/>
        <v>-6000</v>
      </c>
      <c r="W533" s="461">
        <f t="shared" si="214"/>
        <v>0</v>
      </c>
      <c r="X533" s="288">
        <f>X535+X541+X546+X561+X567</f>
        <v>9500</v>
      </c>
      <c r="Y533" s="288">
        <f>Y535+Y541+Y546+Y561+Y567</f>
        <v>18397</v>
      </c>
      <c r="Z533" s="288">
        <f>Z535+Z541+Z546+Z561+Z567</f>
        <v>51600</v>
      </c>
      <c r="AA533" s="288"/>
      <c r="AB533" s="288"/>
      <c r="AC533" s="288">
        <f>+AC535+AC541+AC546+AC561+AC567</f>
        <v>5500</v>
      </c>
      <c r="AD533" s="288">
        <f>+AD535+AD541+AD546+AD561+AD567</f>
        <v>6500</v>
      </c>
      <c r="AE533" s="288">
        <f>+AE535+AE541+AE546+AE561+AE567</f>
        <v>0</v>
      </c>
      <c r="AF533" s="289">
        <f>+AF535+AF541+AF546+AF561+AF567</f>
        <v>0</v>
      </c>
      <c r="AG533" s="343"/>
      <c r="AH533" s="343"/>
      <c r="AI533" s="343"/>
      <c r="AJ533" s="343"/>
      <c r="AK533" s="343"/>
      <c r="AL533" s="343"/>
      <c r="AM533" s="343"/>
      <c r="AN533" s="343"/>
      <c r="AO533" s="343"/>
      <c r="AP533" s="343"/>
      <c r="AQ533" s="343"/>
      <c r="AR533" s="343"/>
      <c r="AS533" s="343"/>
      <c r="AT533" s="343"/>
      <c r="AU533" s="343"/>
      <c r="AV533" s="343"/>
      <c r="AW533" s="343"/>
      <c r="AX533" s="343"/>
      <c r="AY533" s="343"/>
      <c r="AZ533" s="343"/>
      <c r="BA533" s="343"/>
      <c r="BB533" s="343"/>
      <c r="BC533" s="343"/>
      <c r="BD533" s="343"/>
      <c r="BE533" s="343"/>
      <c r="BF533" s="343"/>
      <c r="BG533" s="343"/>
      <c r="BH533" s="343"/>
      <c r="BI533" s="343"/>
      <c r="BJ533" s="343"/>
      <c r="BK533" s="343"/>
      <c r="BL533" s="343"/>
      <c r="BM533" s="343"/>
      <c r="BN533" s="343"/>
      <c r="BO533" s="343"/>
      <c r="BP533" s="343"/>
      <c r="BQ533" s="343"/>
      <c r="BR533" s="343"/>
      <c r="BS533" s="343"/>
      <c r="BT533" s="343"/>
      <c r="BU533" s="343"/>
      <c r="BV533" s="343"/>
      <c r="BW533" s="343"/>
      <c r="BX533" s="343"/>
      <c r="BY533" s="343"/>
      <c r="BZ533" s="343"/>
      <c r="CA533" s="343"/>
      <c r="CB533" s="343"/>
      <c r="CC533" s="343"/>
      <c r="CD533" s="343"/>
      <c r="CE533" s="343"/>
      <c r="CF533" s="343"/>
      <c r="CG533" s="343"/>
      <c r="CH533" s="343"/>
      <c r="CI533" s="343"/>
      <c r="CJ533" s="343"/>
      <c r="CK533" s="343"/>
      <c r="CL533" s="343"/>
      <c r="CM533" s="343"/>
      <c r="CN533" s="343"/>
      <c r="CO533" s="343"/>
      <c r="CP533" s="343"/>
      <c r="CQ533" s="343"/>
      <c r="CR533" s="343"/>
      <c r="CS533" s="343"/>
      <c r="CT533" s="343"/>
      <c r="CU533" s="343"/>
      <c r="CV533" s="343"/>
      <c r="CW533" s="343"/>
      <c r="CX533" s="343"/>
      <c r="CY533" s="343"/>
    </row>
    <row r="534" spans="1:103" s="344" customFormat="1" ht="21" x14ac:dyDescent="0.35">
      <c r="A534" s="394"/>
      <c r="B534" s="479" t="s">
        <v>1343</v>
      </c>
      <c r="C534" s="434"/>
      <c r="D534" s="415"/>
      <c r="E534" s="507"/>
      <c r="F534" s="415"/>
      <c r="G534" s="416"/>
      <c r="H534" s="495"/>
      <c r="I534" s="386">
        <v>20336</v>
      </c>
      <c r="J534" s="383">
        <v>80245</v>
      </c>
      <c r="K534" s="386"/>
      <c r="L534" s="386">
        <f>+J534</f>
        <v>80245</v>
      </c>
      <c r="M534" s="395"/>
      <c r="N534" s="417"/>
      <c r="O534" s="434">
        <f>+X534*1.01</f>
        <v>0</v>
      </c>
      <c r="P534" s="415"/>
      <c r="Q534" s="415"/>
      <c r="R534" s="415"/>
      <c r="S534" s="415"/>
      <c r="T534" s="415"/>
      <c r="U534" s="415"/>
      <c r="V534" s="415"/>
      <c r="W534" s="521"/>
      <c r="X534" s="396"/>
      <c r="Y534" s="396"/>
      <c r="Z534" s="396"/>
      <c r="AA534" s="396"/>
      <c r="AB534" s="396"/>
      <c r="AC534" s="396"/>
      <c r="AD534" s="396"/>
      <c r="AE534" s="396"/>
      <c r="AF534" s="397"/>
      <c r="AG534" s="343"/>
      <c r="AH534" s="343"/>
      <c r="AI534" s="343"/>
      <c r="AJ534" s="343"/>
      <c r="AK534" s="343"/>
      <c r="AL534" s="343"/>
      <c r="AM534" s="343"/>
      <c r="AN534" s="343"/>
      <c r="AO534" s="343"/>
      <c r="AP534" s="343"/>
      <c r="AQ534" s="343"/>
      <c r="AR534" s="343"/>
      <c r="AS534" s="343"/>
      <c r="AT534" s="343"/>
      <c r="AU534" s="343"/>
      <c r="AV534" s="343"/>
      <c r="AW534" s="343"/>
      <c r="AX534" s="343"/>
      <c r="AY534" s="343"/>
      <c r="AZ534" s="343"/>
      <c r="BA534" s="343"/>
      <c r="BB534" s="343"/>
      <c r="BC534" s="343"/>
      <c r="BD534" s="343"/>
      <c r="BE534" s="343"/>
      <c r="BF534" s="343"/>
      <c r="BG534" s="343"/>
      <c r="BH534" s="343"/>
      <c r="BI534" s="343"/>
      <c r="BJ534" s="343"/>
      <c r="BK534" s="343"/>
      <c r="BL534" s="343"/>
      <c r="BM534" s="343"/>
      <c r="BN534" s="343"/>
      <c r="BO534" s="343"/>
      <c r="BP534" s="343"/>
      <c r="BQ534" s="343"/>
      <c r="BR534" s="343"/>
      <c r="BS534" s="343"/>
      <c r="BT534" s="343"/>
      <c r="BU534" s="343"/>
      <c r="BV534" s="343"/>
      <c r="BW534" s="343"/>
      <c r="BX534" s="343"/>
      <c r="BY534" s="343"/>
      <c r="BZ534" s="343"/>
      <c r="CA534" s="343"/>
      <c r="CB534" s="343"/>
      <c r="CC534" s="343"/>
      <c r="CD534" s="343"/>
      <c r="CE534" s="343"/>
      <c r="CF534" s="343"/>
      <c r="CG534" s="343"/>
      <c r="CH534" s="343"/>
      <c r="CI534" s="343"/>
      <c r="CJ534" s="343"/>
      <c r="CK534" s="343"/>
      <c r="CL534" s="343"/>
      <c r="CM534" s="343"/>
      <c r="CN534" s="343"/>
      <c r="CO534" s="343"/>
      <c r="CP534" s="343"/>
      <c r="CQ534" s="343"/>
      <c r="CR534" s="343"/>
      <c r="CS534" s="343"/>
      <c r="CT534" s="343"/>
      <c r="CU534" s="343"/>
      <c r="CV534" s="343"/>
      <c r="CW534" s="343"/>
      <c r="CX534" s="343"/>
      <c r="CY534" s="343"/>
    </row>
    <row r="535" spans="1:103" s="351" customFormat="1" ht="15.75" x14ac:dyDescent="0.25">
      <c r="A535" s="345" t="s">
        <v>417</v>
      </c>
      <c r="B535" s="474" t="s">
        <v>265</v>
      </c>
      <c r="C535" s="430">
        <f>+C536+C537+C538+C540+C539</f>
        <v>3664.21</v>
      </c>
      <c r="D535" s="455">
        <f>+D536+D537+D538+D540+D539</f>
        <v>3020</v>
      </c>
      <c r="E535" s="274">
        <f>+E536+E537+E538+E540+E539</f>
        <v>2493.0100000000002</v>
      </c>
      <c r="F535" s="455">
        <f>+F536+F537+F538+F540+F539</f>
        <v>2200</v>
      </c>
      <c r="G535" s="292">
        <f t="shared" si="195"/>
        <v>1.3727272727272728</v>
      </c>
      <c r="H535" s="489">
        <f>+F535/C535</f>
        <v>0.60040226952057874</v>
      </c>
      <c r="I535" s="349"/>
      <c r="J535" s="347">
        <f>SUM(J536:J540)</f>
        <v>1000</v>
      </c>
      <c r="K535" s="291"/>
      <c r="L535" s="291">
        <f t="shared" si="203"/>
        <v>2200</v>
      </c>
      <c r="M535" s="348">
        <f t="shared" ref="M535:M548" si="215">+J535/L535</f>
        <v>0.45454545454545453</v>
      </c>
      <c r="N535" s="392"/>
      <c r="O535" s="430">
        <f>+O536+O537+O538+O539+O540</f>
        <v>1000</v>
      </c>
      <c r="P535" s="455">
        <f>SUM(P536:P540)</f>
        <v>0</v>
      </c>
      <c r="Q535" s="455">
        <f>SUM(Q536:Q540)</f>
        <v>0</v>
      </c>
      <c r="R535" s="455">
        <f>SUM(R536:R540)</f>
        <v>0</v>
      </c>
      <c r="S535" s="455">
        <f>SUM(S536:S540)</f>
        <v>0</v>
      </c>
      <c r="T535" s="455">
        <f t="shared" ref="T535:AA535" si="216">SUM(T536:T540)</f>
        <v>0</v>
      </c>
      <c r="U535" s="455">
        <f t="shared" si="216"/>
        <v>0</v>
      </c>
      <c r="V535" s="455">
        <f t="shared" si="216"/>
        <v>0</v>
      </c>
      <c r="W535" s="350">
        <f t="shared" si="216"/>
        <v>0</v>
      </c>
      <c r="X535" s="349">
        <f t="shared" si="216"/>
        <v>1000</v>
      </c>
      <c r="Y535" s="455">
        <f t="shared" si="216"/>
        <v>1200</v>
      </c>
      <c r="Z535" s="455">
        <f t="shared" si="216"/>
        <v>0</v>
      </c>
      <c r="AA535" s="455">
        <f t="shared" si="216"/>
        <v>0</v>
      </c>
      <c r="AB535" s="455">
        <f>SUM(AB536:AB540)</f>
        <v>0</v>
      </c>
      <c r="AC535" s="455">
        <f>SUM(AC536:AC540)</f>
        <v>0</v>
      </c>
      <c r="AD535" s="455">
        <f>SUM(AD536:AD540)</f>
        <v>0</v>
      </c>
      <c r="AE535" s="455">
        <f>SUM(AE536:AE540)</f>
        <v>0</v>
      </c>
      <c r="AF535" s="350">
        <f>SUM(AF536:AF540)</f>
        <v>0</v>
      </c>
      <c r="AG535" s="293"/>
      <c r="AH535" s="293"/>
      <c r="AI535" s="293"/>
      <c r="AJ535" s="293"/>
      <c r="AK535" s="293"/>
      <c r="AL535" s="293"/>
      <c r="AM535" s="293"/>
      <c r="AN535" s="293"/>
      <c r="AO535" s="293"/>
      <c r="AP535" s="293"/>
      <c r="AQ535" s="293"/>
      <c r="AR535" s="293"/>
      <c r="AS535" s="293"/>
      <c r="AT535" s="293"/>
      <c r="AU535" s="293"/>
      <c r="AV535" s="293"/>
      <c r="AW535" s="293"/>
      <c r="AX535" s="293"/>
      <c r="AY535" s="293"/>
      <c r="AZ535" s="293"/>
      <c r="BA535" s="293"/>
      <c r="BB535" s="293"/>
      <c r="BC535" s="293"/>
      <c r="BD535" s="293"/>
      <c r="BE535" s="293"/>
      <c r="BF535" s="293"/>
      <c r="BG535" s="293"/>
      <c r="BH535" s="293"/>
      <c r="BI535" s="293"/>
      <c r="BJ535" s="293"/>
      <c r="BK535" s="293"/>
      <c r="BL535" s="293"/>
      <c r="BM535" s="293"/>
      <c r="BN535" s="293"/>
      <c r="BO535" s="293"/>
      <c r="BP535" s="293"/>
      <c r="BQ535" s="293"/>
      <c r="BR535" s="293"/>
      <c r="BS535" s="293"/>
      <c r="BT535" s="293"/>
      <c r="BU535" s="293"/>
      <c r="BV535" s="293"/>
      <c r="BW535" s="293"/>
      <c r="BX535" s="293"/>
      <c r="BY535" s="293"/>
      <c r="BZ535" s="293"/>
      <c r="CA535" s="293"/>
      <c r="CB535" s="293"/>
      <c r="CC535" s="293"/>
      <c r="CD535" s="293"/>
      <c r="CE535" s="293"/>
      <c r="CF535" s="293"/>
      <c r="CG535" s="293"/>
      <c r="CH535" s="293"/>
      <c r="CI535" s="293"/>
      <c r="CJ535" s="293"/>
      <c r="CK535" s="293"/>
      <c r="CL535" s="293"/>
      <c r="CM535" s="293"/>
      <c r="CN535" s="293"/>
      <c r="CO535" s="293"/>
      <c r="CP535" s="293"/>
      <c r="CQ535" s="293"/>
      <c r="CR535" s="293"/>
      <c r="CS535" s="293"/>
      <c r="CT535" s="293"/>
      <c r="CU535" s="293"/>
      <c r="CV535" s="293"/>
      <c r="CW535" s="293"/>
      <c r="CX535" s="293"/>
      <c r="CY535" s="293"/>
    </row>
    <row r="536" spans="1:103" outlineLevel="1" x14ac:dyDescent="0.25">
      <c r="A536" s="358" t="s">
        <v>418</v>
      </c>
      <c r="B536" s="475" t="s">
        <v>281</v>
      </c>
      <c r="C536" s="431"/>
      <c r="D536" s="119">
        <v>420</v>
      </c>
      <c r="E536" s="110">
        <v>240</v>
      </c>
      <c r="F536" s="119">
        <f>+L536</f>
        <v>200</v>
      </c>
      <c r="G536" s="294">
        <f t="shared" si="195"/>
        <v>2.1</v>
      </c>
      <c r="H536" s="490"/>
      <c r="I536" s="290"/>
      <c r="J536" s="119">
        <f t="shared" si="212"/>
        <v>200</v>
      </c>
      <c r="K536" s="290"/>
      <c r="L536" s="290">
        <f t="shared" si="203"/>
        <v>200</v>
      </c>
      <c r="M536" s="354">
        <f t="shared" si="215"/>
        <v>1</v>
      </c>
      <c r="N536" s="353"/>
      <c r="O536" s="431">
        <f>+X536</f>
        <v>200</v>
      </c>
      <c r="P536" s="119"/>
      <c r="Q536" s="119"/>
      <c r="R536" s="119"/>
      <c r="S536" s="119"/>
      <c r="T536" s="119"/>
      <c r="U536" s="119"/>
      <c r="V536" s="119"/>
      <c r="W536" s="356"/>
      <c r="X536" s="290">
        <v>200</v>
      </c>
      <c r="Y536" s="119"/>
      <c r="Z536" s="119"/>
      <c r="AA536" s="119"/>
      <c r="AB536" s="119"/>
      <c r="AC536" s="119"/>
      <c r="AD536" s="119"/>
      <c r="AE536" s="355"/>
      <c r="AF536" s="356"/>
    </row>
    <row r="537" spans="1:103" outlineLevel="1" x14ac:dyDescent="0.25">
      <c r="A537" s="352" t="s">
        <v>419</v>
      </c>
      <c r="B537" s="475" t="s">
        <v>309</v>
      </c>
      <c r="C537" s="431">
        <v>1290.98</v>
      </c>
      <c r="D537" s="119">
        <v>1200</v>
      </c>
      <c r="E537" s="110">
        <v>723.6</v>
      </c>
      <c r="F537" s="119">
        <f>+L537</f>
        <v>600</v>
      </c>
      <c r="G537" s="294">
        <f t="shared" si="195"/>
        <v>2</v>
      </c>
      <c r="H537" s="490">
        <f>+F537/C537</f>
        <v>0.46476320314799607</v>
      </c>
      <c r="I537" s="290"/>
      <c r="J537" s="119">
        <f t="shared" si="212"/>
        <v>400</v>
      </c>
      <c r="K537" s="290"/>
      <c r="L537" s="290">
        <f t="shared" si="203"/>
        <v>600</v>
      </c>
      <c r="M537" s="354">
        <f t="shared" si="215"/>
        <v>0.66666666666666663</v>
      </c>
      <c r="N537" s="353"/>
      <c r="O537" s="431">
        <f>+X537</f>
        <v>400</v>
      </c>
      <c r="P537" s="119"/>
      <c r="Q537" s="119"/>
      <c r="R537" s="119"/>
      <c r="S537" s="119"/>
      <c r="T537" s="119"/>
      <c r="U537" s="119"/>
      <c r="V537" s="119"/>
      <c r="W537" s="356"/>
      <c r="X537" s="290">
        <v>400</v>
      </c>
      <c r="Y537" s="119">
        <v>200</v>
      </c>
      <c r="Z537" s="119"/>
      <c r="AA537" s="119"/>
      <c r="AB537" s="119"/>
      <c r="AC537" s="119"/>
      <c r="AD537" s="119"/>
      <c r="AE537" s="355"/>
      <c r="AF537" s="356"/>
    </row>
    <row r="538" spans="1:103" outlineLevel="1" x14ac:dyDescent="0.25">
      <c r="A538" s="352" t="s">
        <v>420</v>
      </c>
      <c r="B538" s="475" t="s">
        <v>285</v>
      </c>
      <c r="C538" s="431">
        <v>458.84</v>
      </c>
      <c r="D538" s="119">
        <f>+J538</f>
        <v>400</v>
      </c>
      <c r="E538" s="110">
        <v>579.26</v>
      </c>
      <c r="F538" s="119">
        <f>+L538</f>
        <v>600</v>
      </c>
      <c r="G538" s="294">
        <f t="shared" si="195"/>
        <v>0.66666666666666663</v>
      </c>
      <c r="H538" s="490">
        <f>+F538/C538</f>
        <v>1.3076453665765846</v>
      </c>
      <c r="I538" s="290"/>
      <c r="J538" s="119">
        <f t="shared" si="212"/>
        <v>400</v>
      </c>
      <c r="K538" s="290"/>
      <c r="L538" s="290">
        <f t="shared" si="203"/>
        <v>600</v>
      </c>
      <c r="M538" s="354">
        <f t="shared" si="215"/>
        <v>0.66666666666666663</v>
      </c>
      <c r="N538" s="353"/>
      <c r="O538" s="431">
        <f>+X538</f>
        <v>400</v>
      </c>
      <c r="P538" s="119"/>
      <c r="Q538" s="119"/>
      <c r="R538" s="119"/>
      <c r="S538" s="119"/>
      <c r="T538" s="119"/>
      <c r="U538" s="119"/>
      <c r="V538" s="119"/>
      <c r="W538" s="356"/>
      <c r="X538" s="290">
        <v>400</v>
      </c>
      <c r="Y538" s="119">
        <v>200</v>
      </c>
      <c r="Z538" s="119"/>
      <c r="AA538" s="119"/>
      <c r="AB538" s="119"/>
      <c r="AC538" s="119"/>
      <c r="AD538" s="119"/>
      <c r="AE538" s="355"/>
      <c r="AF538" s="356"/>
    </row>
    <row r="539" spans="1:103" outlineLevel="1" x14ac:dyDescent="0.25">
      <c r="A539" s="352" t="s">
        <v>421</v>
      </c>
      <c r="B539" s="475" t="s">
        <v>1319</v>
      </c>
      <c r="C539" s="431"/>
      <c r="D539" s="119">
        <f>+J539</f>
        <v>0</v>
      </c>
      <c r="E539" s="110">
        <v>142.56</v>
      </c>
      <c r="F539" s="119">
        <f>+L539</f>
        <v>200</v>
      </c>
      <c r="G539" s="294">
        <f t="shared" si="195"/>
        <v>0</v>
      </c>
      <c r="H539" s="490"/>
      <c r="I539" s="290"/>
      <c r="J539" s="119">
        <f t="shared" si="212"/>
        <v>0</v>
      </c>
      <c r="K539" s="290"/>
      <c r="L539" s="290">
        <f t="shared" si="203"/>
        <v>200</v>
      </c>
      <c r="M539" s="354">
        <f t="shared" si="215"/>
        <v>0</v>
      </c>
      <c r="N539" s="353"/>
      <c r="O539" s="431"/>
      <c r="P539" s="119"/>
      <c r="Q539" s="119"/>
      <c r="R539" s="119"/>
      <c r="S539" s="119"/>
      <c r="T539" s="119"/>
      <c r="U539" s="119"/>
      <c r="V539" s="119"/>
      <c r="W539" s="356"/>
      <c r="X539" s="290"/>
      <c r="Y539" s="119">
        <v>200</v>
      </c>
      <c r="Z539" s="119"/>
      <c r="AA539" s="119"/>
      <c r="AB539" s="119"/>
      <c r="AC539" s="119"/>
      <c r="AD539" s="119"/>
      <c r="AE539" s="355"/>
      <c r="AF539" s="356"/>
    </row>
    <row r="540" spans="1:103" outlineLevel="1" x14ac:dyDescent="0.25">
      <c r="A540" s="352" t="s">
        <v>1128</v>
      </c>
      <c r="B540" s="475" t="s">
        <v>47</v>
      </c>
      <c r="C540" s="431">
        <v>1914.39</v>
      </c>
      <c r="D540" s="525">
        <v>1000</v>
      </c>
      <c r="E540" s="110">
        <v>807.59</v>
      </c>
      <c r="F540" s="119">
        <f>+L540</f>
        <v>600</v>
      </c>
      <c r="G540" s="294">
        <f t="shared" si="195"/>
        <v>1.6666666666666667</v>
      </c>
      <c r="H540" s="490">
        <f t="shared" ref="H540:H551" si="217">+F540/C540</f>
        <v>0.31341576167865481</v>
      </c>
      <c r="I540" s="290"/>
      <c r="J540" s="119">
        <f t="shared" si="212"/>
        <v>0</v>
      </c>
      <c r="K540" s="290"/>
      <c r="L540" s="290">
        <f t="shared" si="203"/>
        <v>600</v>
      </c>
      <c r="M540" s="354">
        <f t="shared" si="215"/>
        <v>0</v>
      </c>
      <c r="N540" s="353"/>
      <c r="O540" s="431"/>
      <c r="P540" s="119"/>
      <c r="Q540" s="119"/>
      <c r="R540" s="119"/>
      <c r="S540" s="119"/>
      <c r="T540" s="119"/>
      <c r="U540" s="119"/>
      <c r="V540" s="119"/>
      <c r="W540" s="356"/>
      <c r="X540" s="290"/>
      <c r="Y540" s="119">
        <v>600</v>
      </c>
      <c r="Z540" s="119"/>
      <c r="AA540" s="119"/>
      <c r="AB540" s="119"/>
      <c r="AC540" s="119"/>
      <c r="AD540" s="119"/>
      <c r="AE540" s="355"/>
      <c r="AF540" s="356"/>
    </row>
    <row r="541" spans="1:103" s="351" customFormat="1" ht="15.75" x14ac:dyDescent="0.25">
      <c r="A541" s="345" t="s">
        <v>422</v>
      </c>
      <c r="B541" s="474" t="s">
        <v>1425</v>
      </c>
      <c r="C541" s="430">
        <f>+C542+C543+C544+C545</f>
        <v>13250.340000000002</v>
      </c>
      <c r="D541" s="455">
        <f>+D542+D543+D544+D545</f>
        <v>12250</v>
      </c>
      <c r="E541" s="274">
        <f>+E542+E543+E544+E545</f>
        <v>7608.65</v>
      </c>
      <c r="F541" s="455">
        <f>+F542+F543+F544+F545</f>
        <v>10255</v>
      </c>
      <c r="G541" s="292">
        <f t="shared" si="195"/>
        <v>1.1945392491467577</v>
      </c>
      <c r="H541" s="489">
        <f t="shared" si="217"/>
        <v>0.77394240449679019</v>
      </c>
      <c r="I541" s="349"/>
      <c r="J541" s="347">
        <f>+J542+J543+J544+J545</f>
        <v>10000</v>
      </c>
      <c r="K541" s="291"/>
      <c r="L541" s="291">
        <f t="shared" si="203"/>
        <v>10255</v>
      </c>
      <c r="M541" s="348">
        <f t="shared" si="215"/>
        <v>0.97513408093612874</v>
      </c>
      <c r="N541" s="392"/>
      <c r="O541" s="430">
        <f>+O542+O543+O544+O545</f>
        <v>0</v>
      </c>
      <c r="P541" s="455">
        <f>SUM(P542:P545)</f>
        <v>10000</v>
      </c>
      <c r="Q541" s="455">
        <f t="shared" ref="Q541:W541" si="218">SUM(Q542:Q544)</f>
        <v>0</v>
      </c>
      <c r="R541" s="455">
        <f t="shared" si="218"/>
        <v>0</v>
      </c>
      <c r="S541" s="455">
        <f t="shared" si="218"/>
        <v>0</v>
      </c>
      <c r="T541" s="455">
        <f t="shared" si="218"/>
        <v>0</v>
      </c>
      <c r="U541" s="455">
        <f t="shared" si="218"/>
        <v>0</v>
      </c>
      <c r="V541" s="455">
        <f t="shared" si="218"/>
        <v>0</v>
      </c>
      <c r="W541" s="350">
        <f t="shared" si="218"/>
        <v>0</v>
      </c>
      <c r="X541" s="349">
        <f>SUM(X542:X544)</f>
        <v>0</v>
      </c>
      <c r="Y541" s="455">
        <f>SUM(Y542:Y545)</f>
        <v>10255</v>
      </c>
      <c r="Z541" s="455">
        <f t="shared" ref="Z541:AF541" si="219">SUM(Z542:Z544)</f>
        <v>0</v>
      </c>
      <c r="AA541" s="455">
        <f t="shared" si="219"/>
        <v>0</v>
      </c>
      <c r="AB541" s="455">
        <f t="shared" si="219"/>
        <v>0</v>
      </c>
      <c r="AC541" s="455">
        <f t="shared" si="219"/>
        <v>0</v>
      </c>
      <c r="AD541" s="455">
        <f t="shared" si="219"/>
        <v>0</v>
      </c>
      <c r="AE541" s="455">
        <f t="shared" si="219"/>
        <v>0</v>
      </c>
      <c r="AF541" s="350">
        <f t="shared" si="219"/>
        <v>0</v>
      </c>
      <c r="AG541" s="293"/>
      <c r="AH541" s="293"/>
      <c r="AI541" s="293"/>
      <c r="AJ541" s="293"/>
      <c r="AK541" s="293"/>
      <c r="AL541" s="293"/>
      <c r="AM541" s="293"/>
      <c r="AN541" s="293"/>
      <c r="AO541" s="293"/>
      <c r="AP541" s="293"/>
      <c r="AQ541" s="293"/>
      <c r="AR541" s="293"/>
      <c r="AS541" s="293"/>
      <c r="AT541" s="293"/>
      <c r="AU541" s="293"/>
      <c r="AV541" s="293"/>
      <c r="AW541" s="293"/>
      <c r="AX541" s="293"/>
      <c r="AY541" s="293"/>
      <c r="AZ541" s="293"/>
      <c r="BA541" s="293"/>
      <c r="BB541" s="293"/>
      <c r="BC541" s="293"/>
      <c r="BD541" s="293"/>
      <c r="BE541" s="293"/>
      <c r="BF541" s="293"/>
      <c r="BG541" s="293"/>
      <c r="BH541" s="293"/>
      <c r="BI541" s="293"/>
      <c r="BJ541" s="293"/>
      <c r="BK541" s="293"/>
      <c r="BL541" s="293"/>
      <c r="BM541" s="293"/>
      <c r="BN541" s="293"/>
      <c r="BO541" s="293"/>
      <c r="BP541" s="293"/>
      <c r="BQ541" s="293"/>
      <c r="BR541" s="293"/>
      <c r="BS541" s="293"/>
      <c r="BT541" s="293"/>
      <c r="BU541" s="293"/>
      <c r="BV541" s="293"/>
      <c r="BW541" s="293"/>
      <c r="BX541" s="293"/>
      <c r="BY541" s="293"/>
      <c r="BZ541" s="293"/>
      <c r="CA541" s="293"/>
      <c r="CB541" s="293"/>
      <c r="CC541" s="293"/>
      <c r="CD541" s="293"/>
      <c r="CE541" s="293"/>
      <c r="CF541" s="293"/>
      <c r="CG541" s="293"/>
      <c r="CH541" s="293"/>
      <c r="CI541" s="293"/>
      <c r="CJ541" s="293"/>
      <c r="CK541" s="293"/>
      <c r="CL541" s="293"/>
      <c r="CM541" s="293"/>
      <c r="CN541" s="293"/>
      <c r="CO541" s="293"/>
      <c r="CP541" s="293"/>
      <c r="CQ541" s="293"/>
      <c r="CR541" s="293"/>
      <c r="CS541" s="293"/>
      <c r="CT541" s="293"/>
      <c r="CU541" s="293"/>
      <c r="CV541" s="293"/>
      <c r="CW541" s="293"/>
      <c r="CX541" s="293"/>
      <c r="CY541" s="293"/>
    </row>
    <row r="542" spans="1:103" outlineLevel="1" x14ac:dyDescent="0.25">
      <c r="A542" s="352" t="s">
        <v>423</v>
      </c>
      <c r="B542" s="475" t="s">
        <v>1426</v>
      </c>
      <c r="C542" s="431">
        <v>6105.17</v>
      </c>
      <c r="D542" s="119">
        <f>+P542</f>
        <v>10000</v>
      </c>
      <c r="E542" s="110">
        <v>2918.58</v>
      </c>
      <c r="F542" s="119">
        <f>+L542</f>
        <v>3620</v>
      </c>
      <c r="G542" s="294">
        <f t="shared" si="195"/>
        <v>2.7624309392265194</v>
      </c>
      <c r="H542" s="490">
        <f t="shared" si="217"/>
        <v>0.59294008193056047</v>
      </c>
      <c r="I542" s="290"/>
      <c r="J542" s="119">
        <f t="shared" si="212"/>
        <v>10000</v>
      </c>
      <c r="K542" s="290"/>
      <c r="L542" s="290">
        <f t="shared" si="203"/>
        <v>3620</v>
      </c>
      <c r="M542" s="354">
        <f t="shared" si="215"/>
        <v>2.7624309392265194</v>
      </c>
      <c r="N542" s="353"/>
      <c r="O542" s="431"/>
      <c r="P542" s="119">
        <v>10000</v>
      </c>
      <c r="Q542" s="119"/>
      <c r="R542" s="119"/>
      <c r="S542" s="119"/>
      <c r="T542" s="119"/>
      <c r="U542" s="119"/>
      <c r="V542" s="119"/>
      <c r="W542" s="356"/>
      <c r="X542" s="290"/>
      <c r="Y542" s="119">
        <f>20*181</f>
        <v>3620</v>
      </c>
      <c r="Z542" s="119"/>
      <c r="AA542" s="119"/>
      <c r="AB542" s="119"/>
      <c r="AC542" s="119"/>
      <c r="AD542" s="119"/>
      <c r="AE542" s="355"/>
      <c r="AF542" s="356"/>
    </row>
    <row r="543" spans="1:103" outlineLevel="1" x14ac:dyDescent="0.25">
      <c r="A543" s="352" t="s">
        <v>424</v>
      </c>
      <c r="B543" s="475" t="s">
        <v>1130</v>
      </c>
      <c r="C543" s="431">
        <v>2746.87</v>
      </c>
      <c r="D543" s="119"/>
      <c r="E543" s="110">
        <v>1973.34</v>
      </c>
      <c r="F543" s="119">
        <f>+L543</f>
        <v>3900</v>
      </c>
      <c r="G543" s="294">
        <f t="shared" si="195"/>
        <v>0</v>
      </c>
      <c r="H543" s="490">
        <f t="shared" si="217"/>
        <v>1.419797806230364</v>
      </c>
      <c r="I543" s="290"/>
      <c r="J543" s="119">
        <f t="shared" si="212"/>
        <v>0</v>
      </c>
      <c r="K543" s="290"/>
      <c r="L543" s="290">
        <f t="shared" si="203"/>
        <v>3900</v>
      </c>
      <c r="M543" s="354">
        <f t="shared" si="215"/>
        <v>0</v>
      </c>
      <c r="N543" s="353"/>
      <c r="O543" s="431"/>
      <c r="P543" s="119"/>
      <c r="Q543" s="119"/>
      <c r="R543" s="119"/>
      <c r="S543" s="119"/>
      <c r="T543" s="119"/>
      <c r="U543" s="119"/>
      <c r="V543" s="119"/>
      <c r="W543" s="356"/>
      <c r="X543" s="290"/>
      <c r="Y543" s="119">
        <f>100*39</f>
        <v>3900</v>
      </c>
      <c r="Z543" s="119"/>
      <c r="AA543" s="119"/>
      <c r="AB543" s="119"/>
      <c r="AC543" s="119"/>
      <c r="AD543" s="119"/>
      <c r="AE543" s="355"/>
      <c r="AF543" s="356"/>
    </row>
    <row r="544" spans="1:103" outlineLevel="1" x14ac:dyDescent="0.25">
      <c r="A544" s="352" t="s">
        <v>425</v>
      </c>
      <c r="B544" s="475" t="s">
        <v>1131</v>
      </c>
      <c r="C544" s="431">
        <v>1075.02</v>
      </c>
      <c r="D544" s="119"/>
      <c r="E544" s="110">
        <v>1238.98</v>
      </c>
      <c r="F544" s="119">
        <f>+L544</f>
        <v>1935</v>
      </c>
      <c r="G544" s="294">
        <f t="shared" si="195"/>
        <v>0</v>
      </c>
      <c r="H544" s="490">
        <f t="shared" si="217"/>
        <v>1.799966512250935</v>
      </c>
      <c r="I544" s="290"/>
      <c r="J544" s="119">
        <f t="shared" si="212"/>
        <v>0</v>
      </c>
      <c r="K544" s="290"/>
      <c r="L544" s="290">
        <f t="shared" si="203"/>
        <v>1935</v>
      </c>
      <c r="M544" s="354">
        <f t="shared" si="215"/>
        <v>0</v>
      </c>
      <c r="N544" s="353"/>
      <c r="O544" s="431"/>
      <c r="P544" s="119"/>
      <c r="Q544" s="119"/>
      <c r="R544" s="119"/>
      <c r="S544" s="119"/>
      <c r="T544" s="119"/>
      <c r="U544" s="119"/>
      <c r="V544" s="119"/>
      <c r="W544" s="356"/>
      <c r="X544" s="290"/>
      <c r="Y544" s="119">
        <f>35*61-200</f>
        <v>1935</v>
      </c>
      <c r="Z544" s="119"/>
      <c r="AA544" s="119"/>
      <c r="AB544" s="119"/>
      <c r="AC544" s="119"/>
      <c r="AD544" s="119"/>
      <c r="AE544" s="355"/>
      <c r="AF544" s="356"/>
    </row>
    <row r="545" spans="1:103" outlineLevel="1" x14ac:dyDescent="0.25">
      <c r="A545" s="352" t="s">
        <v>1132</v>
      </c>
      <c r="B545" s="475" t="s">
        <v>1427</v>
      </c>
      <c r="C545" s="431">
        <v>3323.28</v>
      </c>
      <c r="D545" s="525">
        <v>2250</v>
      </c>
      <c r="E545" s="110">
        <v>1477.75</v>
      </c>
      <c r="F545" s="119">
        <f>+L545</f>
        <v>800</v>
      </c>
      <c r="G545" s="294">
        <f t="shared" ref="G545:G613" si="220">+D545/F545</f>
        <v>2.8125</v>
      </c>
      <c r="H545" s="490">
        <f t="shared" si="217"/>
        <v>0.24072602970559207</v>
      </c>
      <c r="I545" s="290"/>
      <c r="J545" s="119">
        <f t="shared" si="212"/>
        <v>0</v>
      </c>
      <c r="K545" s="290"/>
      <c r="L545" s="290">
        <f t="shared" si="203"/>
        <v>800</v>
      </c>
      <c r="M545" s="354">
        <f t="shared" si="215"/>
        <v>0</v>
      </c>
      <c r="N545" s="353"/>
      <c r="O545" s="431"/>
      <c r="P545" s="119"/>
      <c r="Q545" s="119"/>
      <c r="R545" s="119"/>
      <c r="S545" s="119"/>
      <c r="T545" s="119"/>
      <c r="U545" s="119"/>
      <c r="V545" s="119"/>
      <c r="W545" s="356"/>
      <c r="X545" s="290"/>
      <c r="Y545" s="119">
        <f>600+200</f>
        <v>800</v>
      </c>
      <c r="Z545" s="119"/>
      <c r="AA545" s="119"/>
      <c r="AB545" s="119"/>
      <c r="AC545" s="119"/>
      <c r="AD545" s="119"/>
      <c r="AE545" s="355"/>
      <c r="AF545" s="356"/>
    </row>
    <row r="546" spans="1:103" s="351" customFormat="1" ht="15.75" x14ac:dyDescent="0.25">
      <c r="A546" s="345" t="s">
        <v>426</v>
      </c>
      <c r="B546" s="474" t="s">
        <v>137</v>
      </c>
      <c r="C546" s="430">
        <f>+C547+C548+C549+C550+C551+C552</f>
        <v>55734.94000000001</v>
      </c>
      <c r="D546" s="455">
        <f>+D547+D548+D549+D550+D551+D552+D553+D554+D555+D556+D557+D558+D559+D560</f>
        <v>23100.02</v>
      </c>
      <c r="E546" s="274">
        <f>+E547+E548+E549+E550+E551+E552+E553+E554+E555+E556+E557+E558+E559+E560</f>
        <v>45217.01</v>
      </c>
      <c r="F546" s="455">
        <f>+F547+F548+F549+F550+F551+F552</f>
        <v>51314</v>
      </c>
      <c r="G546" s="292">
        <f t="shared" si="220"/>
        <v>0.4501699341310364</v>
      </c>
      <c r="H546" s="489">
        <f t="shared" si="217"/>
        <v>0.92067920051587016</v>
      </c>
      <c r="I546" s="349"/>
      <c r="J546" s="347">
        <f>SUM(J547:J560)</f>
        <v>24500</v>
      </c>
      <c r="K546" s="291"/>
      <c r="L546" s="291">
        <f t="shared" si="203"/>
        <v>51314</v>
      </c>
      <c r="M546" s="348">
        <f t="shared" si="215"/>
        <v>0.47745254706317963</v>
      </c>
      <c r="N546" s="392"/>
      <c r="O546" s="430">
        <f>SUM(O547:O560)</f>
        <v>3000</v>
      </c>
      <c r="P546" s="455">
        <f t="shared" ref="P546:W546" si="221">+P547+P548+P549+P550+P551+P552+P553+P554+P555+P556+P557+P558+P559+P560</f>
        <v>10000</v>
      </c>
      <c r="Q546" s="455">
        <f t="shared" si="221"/>
        <v>9000</v>
      </c>
      <c r="R546" s="455">
        <f t="shared" si="221"/>
        <v>0</v>
      </c>
      <c r="S546" s="455">
        <f t="shared" si="221"/>
        <v>0</v>
      </c>
      <c r="T546" s="455">
        <f t="shared" si="221"/>
        <v>2500</v>
      </c>
      <c r="U546" s="455">
        <f t="shared" si="221"/>
        <v>0</v>
      </c>
      <c r="V546" s="455">
        <f t="shared" si="221"/>
        <v>0</v>
      </c>
      <c r="W546" s="350">
        <f t="shared" si="221"/>
        <v>0</v>
      </c>
      <c r="X546" s="349">
        <f>SUM(X547:X552)</f>
        <v>5000</v>
      </c>
      <c r="Y546" s="349">
        <f t="shared" ref="Y546:AF546" si="222">SUM(Y547:Y552)</f>
        <v>2600</v>
      </c>
      <c r="Z546" s="349">
        <f t="shared" si="222"/>
        <v>34714</v>
      </c>
      <c r="AA546" s="349">
        <f t="shared" si="222"/>
        <v>0</v>
      </c>
      <c r="AB546" s="349">
        <f t="shared" si="222"/>
        <v>0</v>
      </c>
      <c r="AC546" s="349">
        <f t="shared" si="222"/>
        <v>2500</v>
      </c>
      <c r="AD546" s="349">
        <f t="shared" si="222"/>
        <v>6500</v>
      </c>
      <c r="AE546" s="349">
        <f t="shared" si="222"/>
        <v>0</v>
      </c>
      <c r="AF546" s="359">
        <f t="shared" si="222"/>
        <v>0</v>
      </c>
      <c r="AG546" s="293"/>
      <c r="AH546" s="293"/>
      <c r="AI546" s="293"/>
      <c r="AJ546" s="293"/>
      <c r="AK546" s="293"/>
      <c r="AL546" s="293"/>
      <c r="AM546" s="293"/>
      <c r="AN546" s="293"/>
      <c r="AO546" s="293"/>
      <c r="AP546" s="293"/>
      <c r="AQ546" s="293"/>
      <c r="AR546" s="293"/>
      <c r="AS546" s="293"/>
      <c r="AT546" s="293"/>
      <c r="AU546" s="293"/>
      <c r="AV546" s="293"/>
      <c r="AW546" s="293"/>
      <c r="AX546" s="293"/>
      <c r="AY546" s="293"/>
      <c r="AZ546" s="293"/>
      <c r="BA546" s="293"/>
      <c r="BB546" s="293"/>
      <c r="BC546" s="293"/>
      <c r="BD546" s="293"/>
      <c r="BE546" s="293"/>
      <c r="BF546" s="293"/>
      <c r="BG546" s="293"/>
      <c r="BH546" s="293"/>
      <c r="BI546" s="293"/>
      <c r="BJ546" s="293"/>
      <c r="BK546" s="293"/>
      <c r="BL546" s="293"/>
      <c r="BM546" s="293"/>
      <c r="BN546" s="293"/>
      <c r="BO546" s="293"/>
      <c r="BP546" s="293"/>
      <c r="BQ546" s="293"/>
      <c r="BR546" s="293"/>
      <c r="BS546" s="293"/>
      <c r="BT546" s="293"/>
      <c r="BU546" s="293"/>
      <c r="BV546" s="293"/>
      <c r="BW546" s="293"/>
      <c r="BX546" s="293"/>
      <c r="BY546" s="293"/>
      <c r="BZ546" s="293"/>
      <c r="CA546" s="293"/>
      <c r="CB546" s="293"/>
      <c r="CC546" s="293"/>
      <c r="CD546" s="293"/>
      <c r="CE546" s="293"/>
      <c r="CF546" s="293"/>
      <c r="CG546" s="293"/>
      <c r="CH546" s="293"/>
      <c r="CI546" s="293"/>
      <c r="CJ546" s="293"/>
      <c r="CK546" s="293"/>
      <c r="CL546" s="293"/>
      <c r="CM546" s="293"/>
      <c r="CN546" s="293"/>
      <c r="CO546" s="293"/>
      <c r="CP546" s="293"/>
      <c r="CQ546" s="293"/>
      <c r="CR546" s="293"/>
      <c r="CS546" s="293"/>
      <c r="CT546" s="293"/>
      <c r="CU546" s="293"/>
      <c r="CV546" s="293"/>
      <c r="CW546" s="293"/>
      <c r="CX546" s="293"/>
      <c r="CY546" s="293"/>
    </row>
    <row r="547" spans="1:103" outlineLevel="1" x14ac:dyDescent="0.25">
      <c r="A547" s="352" t="s">
        <v>427</v>
      </c>
      <c r="B547" s="475" t="s">
        <v>141</v>
      </c>
      <c r="C547" s="431">
        <v>17826.240000000002</v>
      </c>
      <c r="D547" s="119">
        <f>9500+10000+1962.02-362</f>
        <v>21100.02</v>
      </c>
      <c r="E547" s="110">
        <v>35234.559999999998</v>
      </c>
      <c r="F547" s="119">
        <f t="shared" ref="F547:F552" si="223">+L547</f>
        <v>29114</v>
      </c>
      <c r="G547" s="294">
        <f t="shared" si="220"/>
        <v>0.72473792677062587</v>
      </c>
      <c r="H547" s="490">
        <f t="shared" si="217"/>
        <v>1.6332103685353725</v>
      </c>
      <c r="I547" s="290"/>
      <c r="J547" s="119">
        <f t="shared" si="212"/>
        <v>24500</v>
      </c>
      <c r="K547" s="290"/>
      <c r="L547" s="290">
        <f t="shared" si="203"/>
        <v>29114</v>
      </c>
      <c r="M547" s="354">
        <f t="shared" si="215"/>
        <v>0.84151954386205952</v>
      </c>
      <c r="N547" s="353"/>
      <c r="O547" s="527">
        <f>+X547</f>
        <v>3000</v>
      </c>
      <c r="P547" s="119">
        <v>10000</v>
      </c>
      <c r="Q547" s="119">
        <v>9000</v>
      </c>
      <c r="R547" s="119"/>
      <c r="S547" s="119"/>
      <c r="T547" s="119">
        <v>2500</v>
      </c>
      <c r="U547" s="119"/>
      <c r="V547" s="119"/>
      <c r="W547" s="356"/>
      <c r="X547" s="290">
        <v>3000</v>
      </c>
      <c r="Y547" s="119">
        <v>400</v>
      </c>
      <c r="Z547" s="119">
        <f>24000-7286</f>
        <v>16714</v>
      </c>
      <c r="AA547" s="119"/>
      <c r="AB547" s="119"/>
      <c r="AC547" s="119">
        <v>2500</v>
      </c>
      <c r="AD547" s="119">
        <v>6500</v>
      </c>
      <c r="AE547" s="355"/>
      <c r="AF547" s="356"/>
    </row>
    <row r="548" spans="1:103" outlineLevel="1" x14ac:dyDescent="0.25">
      <c r="A548" s="374" t="s">
        <v>428</v>
      </c>
      <c r="B548" s="475" t="s">
        <v>140</v>
      </c>
      <c r="C548" s="431">
        <v>20411.25</v>
      </c>
      <c r="D548" s="119"/>
      <c r="E548" s="110">
        <v>2087.0500000000002</v>
      </c>
      <c r="F548" s="119">
        <f t="shared" si="223"/>
        <v>20000</v>
      </c>
      <c r="G548" s="294">
        <f t="shared" si="220"/>
        <v>0</v>
      </c>
      <c r="H548" s="490">
        <f t="shared" si="217"/>
        <v>0.97985179741564088</v>
      </c>
      <c r="I548" s="290"/>
      <c r="J548" s="119">
        <f t="shared" si="212"/>
        <v>0</v>
      </c>
      <c r="K548" s="290"/>
      <c r="L548" s="290">
        <f t="shared" si="203"/>
        <v>20000</v>
      </c>
      <c r="M548" s="354">
        <f t="shared" si="215"/>
        <v>0</v>
      </c>
      <c r="N548" s="353"/>
      <c r="O548" s="431"/>
      <c r="P548" s="119"/>
      <c r="Q548" s="119"/>
      <c r="R548" s="119"/>
      <c r="S548" s="119"/>
      <c r="T548" s="119"/>
      <c r="U548" s="119"/>
      <c r="V548" s="119"/>
      <c r="W548" s="356"/>
      <c r="X548" s="290">
        <v>2000</v>
      </c>
      <c r="Y548" s="119"/>
      <c r="Z548" s="119">
        <v>18000</v>
      </c>
      <c r="AA548" s="119"/>
      <c r="AB548" s="119"/>
      <c r="AC548" s="119"/>
      <c r="AD548" s="119"/>
      <c r="AE548" s="355"/>
      <c r="AF548" s="356"/>
    </row>
    <row r="549" spans="1:103" outlineLevel="1" x14ac:dyDescent="0.25">
      <c r="A549" s="352" t="s">
        <v>433</v>
      </c>
      <c r="B549" s="475" t="s">
        <v>1133</v>
      </c>
      <c r="C549" s="431">
        <v>1277.08</v>
      </c>
      <c r="D549" s="119"/>
      <c r="E549" s="110"/>
      <c r="F549" s="119">
        <f t="shared" si="223"/>
        <v>0</v>
      </c>
      <c r="G549" s="294"/>
      <c r="H549" s="490">
        <f t="shared" si="217"/>
        <v>0</v>
      </c>
      <c r="I549" s="290"/>
      <c r="J549" s="119">
        <f t="shared" si="212"/>
        <v>0</v>
      </c>
      <c r="K549" s="290"/>
      <c r="L549" s="290">
        <f t="shared" si="203"/>
        <v>0</v>
      </c>
      <c r="M549" s="354"/>
      <c r="N549" s="353"/>
      <c r="O549" s="431"/>
      <c r="P549" s="119"/>
      <c r="Q549" s="119"/>
      <c r="R549" s="119"/>
      <c r="S549" s="119"/>
      <c r="T549" s="119"/>
      <c r="U549" s="119"/>
      <c r="V549" s="119"/>
      <c r="W549" s="356"/>
      <c r="X549" s="290"/>
      <c r="Y549" s="119"/>
      <c r="Z549" s="119"/>
      <c r="AA549" s="119"/>
      <c r="AB549" s="119"/>
      <c r="AC549" s="119"/>
      <c r="AD549" s="119"/>
      <c r="AE549" s="355"/>
      <c r="AF549" s="356"/>
    </row>
    <row r="550" spans="1:103" outlineLevel="1" x14ac:dyDescent="0.25">
      <c r="A550" s="352" t="s">
        <v>1134</v>
      </c>
      <c r="B550" s="475" t="s">
        <v>1135</v>
      </c>
      <c r="C550" s="431">
        <v>4219.6899999999996</v>
      </c>
      <c r="D550" s="119"/>
      <c r="E550" s="110">
        <v>575.74</v>
      </c>
      <c r="F550" s="119">
        <f t="shared" si="223"/>
        <v>2200</v>
      </c>
      <c r="G550" s="294">
        <f t="shared" si="220"/>
        <v>0</v>
      </c>
      <c r="H550" s="490">
        <f t="shared" si="217"/>
        <v>0.52136531356568849</v>
      </c>
      <c r="I550" s="290"/>
      <c r="J550" s="119">
        <f t="shared" si="212"/>
        <v>0</v>
      </c>
      <c r="K550" s="290"/>
      <c r="L550" s="290">
        <f t="shared" si="203"/>
        <v>2200</v>
      </c>
      <c r="M550" s="354">
        <f>+J550/L550</f>
        <v>0</v>
      </c>
      <c r="N550" s="353"/>
      <c r="O550" s="431"/>
      <c r="P550" s="119"/>
      <c r="Q550" s="119"/>
      <c r="R550" s="119"/>
      <c r="S550" s="119"/>
      <c r="T550" s="119"/>
      <c r="U550" s="119"/>
      <c r="V550" s="119"/>
      <c r="W550" s="356"/>
      <c r="X550" s="290"/>
      <c r="Y550" s="290">
        <v>2200</v>
      </c>
      <c r="Z550" s="290"/>
      <c r="AA550" s="290"/>
      <c r="AB550" s="290"/>
      <c r="AC550" s="290"/>
      <c r="AD550" s="290"/>
      <c r="AE550" s="364"/>
      <c r="AF550" s="362"/>
    </row>
    <row r="551" spans="1:103" outlineLevel="1" x14ac:dyDescent="0.25">
      <c r="A551" s="352" t="s">
        <v>1136</v>
      </c>
      <c r="B551" s="475" t="s">
        <v>1164</v>
      </c>
      <c r="C551" s="431">
        <v>12000.68</v>
      </c>
      <c r="D551" s="119"/>
      <c r="E551" s="110"/>
      <c r="F551" s="119">
        <f t="shared" si="223"/>
        <v>0</v>
      </c>
      <c r="G551" s="294"/>
      <c r="H551" s="490">
        <f t="shared" si="217"/>
        <v>0</v>
      </c>
      <c r="I551" s="290"/>
      <c r="J551" s="119">
        <f t="shared" si="212"/>
        <v>0</v>
      </c>
      <c r="K551" s="290"/>
      <c r="L551" s="290">
        <f t="shared" si="203"/>
        <v>0</v>
      </c>
      <c r="M551" s="354"/>
      <c r="N551" s="353"/>
      <c r="O551" s="431"/>
      <c r="P551" s="119"/>
      <c r="Q551" s="119"/>
      <c r="R551" s="119"/>
      <c r="S551" s="119"/>
      <c r="T551" s="119"/>
      <c r="U551" s="119"/>
      <c r="V551" s="119"/>
      <c r="W551" s="356"/>
      <c r="X551" s="290"/>
      <c r="Y551" s="290"/>
      <c r="Z551" s="290"/>
      <c r="AA551" s="290"/>
      <c r="AB551" s="290"/>
      <c r="AC551" s="290"/>
      <c r="AD551" s="290"/>
      <c r="AE551" s="364"/>
      <c r="AF551" s="362"/>
    </row>
    <row r="552" spans="1:103" outlineLevel="1" x14ac:dyDescent="0.25">
      <c r="A552" s="352" t="s">
        <v>1138</v>
      </c>
      <c r="B552" s="475" t="s">
        <v>47</v>
      </c>
      <c r="C552" s="431"/>
      <c r="D552" s="119"/>
      <c r="E552" s="110"/>
      <c r="F552" s="119">
        <f t="shared" si="223"/>
        <v>0</v>
      </c>
      <c r="G552" s="294"/>
      <c r="H552" s="490"/>
      <c r="I552" s="290"/>
      <c r="J552" s="119">
        <f t="shared" si="212"/>
        <v>0</v>
      </c>
      <c r="K552" s="290"/>
      <c r="L552" s="290">
        <f t="shared" si="203"/>
        <v>0</v>
      </c>
      <c r="M552" s="354"/>
      <c r="N552" s="353"/>
      <c r="O552" s="431"/>
      <c r="P552" s="119"/>
      <c r="Q552" s="119"/>
      <c r="R552" s="119"/>
      <c r="S552" s="119"/>
      <c r="T552" s="119"/>
      <c r="U552" s="119"/>
      <c r="V552" s="119"/>
      <c r="W552" s="356"/>
      <c r="X552" s="290"/>
      <c r="Y552" s="290"/>
      <c r="Z552" s="290"/>
      <c r="AA552" s="290"/>
      <c r="AB552" s="290"/>
      <c r="AC552" s="290"/>
      <c r="AD552" s="290"/>
      <c r="AE552" s="364"/>
      <c r="AF552" s="362"/>
    </row>
    <row r="553" spans="1:103" outlineLevel="1" x14ac:dyDescent="0.25">
      <c r="A553" s="456" t="s">
        <v>1380</v>
      </c>
      <c r="B553" s="478" t="s">
        <v>1381</v>
      </c>
      <c r="C553" s="431"/>
      <c r="D553" s="119">
        <v>2000</v>
      </c>
      <c r="E553" s="110">
        <v>639.82000000000005</v>
      </c>
      <c r="F553" s="119"/>
      <c r="G553" s="294"/>
      <c r="H553" s="490"/>
      <c r="I553" s="290"/>
      <c r="J553" s="119">
        <f t="shared" si="212"/>
        <v>0</v>
      </c>
      <c r="K553" s="290"/>
      <c r="L553" s="290"/>
      <c r="M553" s="354"/>
      <c r="N553" s="353"/>
      <c r="O553" s="431"/>
      <c r="P553" s="119"/>
      <c r="Q553" s="119"/>
      <c r="R553" s="119"/>
      <c r="S553" s="119"/>
      <c r="T553" s="119"/>
      <c r="U553" s="119"/>
      <c r="V553" s="119"/>
      <c r="W553" s="356"/>
      <c r="X553" s="290"/>
      <c r="Y553" s="290"/>
      <c r="Z553" s="290"/>
      <c r="AA553" s="290"/>
      <c r="AB553" s="290"/>
      <c r="AC553" s="290"/>
      <c r="AD553" s="290"/>
      <c r="AE553" s="364"/>
      <c r="AF553" s="362"/>
    </row>
    <row r="554" spans="1:103" outlineLevel="1" x14ac:dyDescent="0.25">
      <c r="A554" s="456" t="s">
        <v>1382</v>
      </c>
      <c r="B554" s="478" t="s">
        <v>1383</v>
      </c>
      <c r="C554" s="431"/>
      <c r="D554" s="119"/>
      <c r="E554" s="110">
        <v>354.5</v>
      </c>
      <c r="F554" s="119"/>
      <c r="G554" s="294"/>
      <c r="H554" s="490"/>
      <c r="I554" s="290"/>
      <c r="J554" s="119">
        <f t="shared" si="212"/>
        <v>0</v>
      </c>
      <c r="K554" s="290"/>
      <c r="L554" s="290"/>
      <c r="M554" s="354"/>
      <c r="N554" s="353"/>
      <c r="O554" s="431"/>
      <c r="P554" s="119"/>
      <c r="Q554" s="119"/>
      <c r="R554" s="119"/>
      <c r="S554" s="119"/>
      <c r="T554" s="119"/>
      <c r="U554" s="119"/>
      <c r="V554" s="119"/>
      <c r="W554" s="356"/>
      <c r="X554" s="290"/>
      <c r="Y554" s="290"/>
      <c r="Z554" s="290"/>
      <c r="AA554" s="290"/>
      <c r="AB554" s="290"/>
      <c r="AC554" s="290"/>
      <c r="AD554" s="290"/>
      <c r="AE554" s="364"/>
      <c r="AF554" s="362"/>
    </row>
    <row r="555" spans="1:103" outlineLevel="1" x14ac:dyDescent="0.25">
      <c r="A555" s="456" t="s">
        <v>1384</v>
      </c>
      <c r="B555" s="478" t="s">
        <v>1385</v>
      </c>
      <c r="C555" s="431"/>
      <c r="D555" s="119"/>
      <c r="E555" s="110">
        <v>2407.73</v>
      </c>
      <c r="F555" s="119"/>
      <c r="G555" s="294"/>
      <c r="H555" s="490"/>
      <c r="I555" s="290"/>
      <c r="J555" s="119">
        <f t="shared" si="212"/>
        <v>0</v>
      </c>
      <c r="K555" s="290"/>
      <c r="L555" s="290"/>
      <c r="M555" s="354"/>
      <c r="N555" s="353"/>
      <c r="O555" s="431"/>
      <c r="P555" s="119"/>
      <c r="Q555" s="119"/>
      <c r="R555" s="119"/>
      <c r="S555" s="119"/>
      <c r="T555" s="119"/>
      <c r="U555" s="119"/>
      <c r="V555" s="119"/>
      <c r="W555" s="356"/>
      <c r="X555" s="290"/>
      <c r="Y555" s="290"/>
      <c r="Z555" s="290"/>
      <c r="AA555" s="290"/>
      <c r="AB555" s="290"/>
      <c r="AC555" s="290"/>
      <c r="AD555" s="290"/>
      <c r="AE555" s="364"/>
      <c r="AF555" s="362"/>
    </row>
    <row r="556" spans="1:103" outlineLevel="1" x14ac:dyDescent="0.25">
      <c r="A556" s="456" t="s">
        <v>1386</v>
      </c>
      <c r="B556" s="478" t="s">
        <v>1387</v>
      </c>
      <c r="C556" s="431"/>
      <c r="D556" s="119"/>
      <c r="E556" s="110">
        <v>2833.08</v>
      </c>
      <c r="F556" s="119"/>
      <c r="G556" s="294"/>
      <c r="H556" s="490"/>
      <c r="I556" s="290"/>
      <c r="J556" s="119">
        <f t="shared" si="212"/>
        <v>0</v>
      </c>
      <c r="K556" s="290"/>
      <c r="L556" s="290"/>
      <c r="M556" s="354"/>
      <c r="N556" s="353"/>
      <c r="O556" s="431"/>
      <c r="P556" s="119"/>
      <c r="Q556" s="119"/>
      <c r="R556" s="119"/>
      <c r="S556" s="119"/>
      <c r="T556" s="119"/>
      <c r="U556" s="119"/>
      <c r="V556" s="119"/>
      <c r="W556" s="356"/>
      <c r="X556" s="290"/>
      <c r="Y556" s="290"/>
      <c r="Z556" s="290"/>
      <c r="AA556" s="290"/>
      <c r="AB556" s="290"/>
      <c r="AC556" s="290"/>
      <c r="AD556" s="290"/>
      <c r="AE556" s="364"/>
      <c r="AF556" s="362"/>
    </row>
    <row r="557" spans="1:103" outlineLevel="1" x14ac:dyDescent="0.25">
      <c r="A557" s="457" t="s">
        <v>1388</v>
      </c>
      <c r="B557" s="478" t="s">
        <v>1389</v>
      </c>
      <c r="C557" s="431"/>
      <c r="D557" s="119"/>
      <c r="E557" s="110">
        <v>550.99</v>
      </c>
      <c r="F557" s="119"/>
      <c r="G557" s="294"/>
      <c r="H557" s="490"/>
      <c r="I557" s="290"/>
      <c r="J557" s="119">
        <f t="shared" si="212"/>
        <v>0</v>
      </c>
      <c r="K557" s="290"/>
      <c r="L557" s="290"/>
      <c r="M557" s="354"/>
      <c r="N557" s="353"/>
      <c r="O557" s="431"/>
      <c r="P557" s="119"/>
      <c r="Q557" s="119"/>
      <c r="R557" s="119"/>
      <c r="S557" s="119"/>
      <c r="T557" s="119"/>
      <c r="U557" s="119"/>
      <c r="V557" s="119"/>
      <c r="W557" s="356"/>
      <c r="X557" s="290"/>
      <c r="Y557" s="290"/>
      <c r="Z557" s="290"/>
      <c r="AA557" s="290"/>
      <c r="AB557" s="290"/>
      <c r="AC557" s="290"/>
      <c r="AD557" s="290"/>
      <c r="AE557" s="364"/>
      <c r="AF557" s="362"/>
    </row>
    <row r="558" spans="1:103" outlineLevel="1" x14ac:dyDescent="0.25">
      <c r="A558" s="456" t="s">
        <v>1390</v>
      </c>
      <c r="B558" s="478" t="s">
        <v>1391</v>
      </c>
      <c r="C558" s="431"/>
      <c r="D558" s="119"/>
      <c r="E558" s="110">
        <v>1.37</v>
      </c>
      <c r="F558" s="119"/>
      <c r="G558" s="294"/>
      <c r="H558" s="490"/>
      <c r="I558" s="290"/>
      <c r="J558" s="119">
        <f t="shared" si="212"/>
        <v>0</v>
      </c>
      <c r="K558" s="290"/>
      <c r="L558" s="290"/>
      <c r="M558" s="354"/>
      <c r="N558" s="353"/>
      <c r="O558" s="431"/>
      <c r="P558" s="119"/>
      <c r="Q558" s="119"/>
      <c r="R558" s="119"/>
      <c r="S558" s="119"/>
      <c r="T558" s="119"/>
      <c r="U558" s="119"/>
      <c r="V558" s="119"/>
      <c r="W558" s="356"/>
      <c r="X558" s="290"/>
      <c r="Y558" s="290"/>
      <c r="Z558" s="290"/>
      <c r="AA558" s="290"/>
      <c r="AB558" s="290"/>
      <c r="AC558" s="290"/>
      <c r="AD558" s="290"/>
      <c r="AE558" s="364"/>
      <c r="AF558" s="362"/>
    </row>
    <row r="559" spans="1:103" outlineLevel="1" x14ac:dyDescent="0.25">
      <c r="A559" s="456" t="s">
        <v>1392</v>
      </c>
      <c r="B559" s="478" t="s">
        <v>1393</v>
      </c>
      <c r="C559" s="431"/>
      <c r="D559" s="119"/>
      <c r="E559" s="110">
        <v>532.16999999999996</v>
      </c>
      <c r="F559" s="119"/>
      <c r="G559" s="294"/>
      <c r="H559" s="490"/>
      <c r="I559" s="290"/>
      <c r="J559" s="119">
        <f t="shared" si="212"/>
        <v>0</v>
      </c>
      <c r="K559" s="290"/>
      <c r="L559" s="290"/>
      <c r="M559" s="354"/>
      <c r="N559" s="353"/>
      <c r="O559" s="431"/>
      <c r="P559" s="119"/>
      <c r="Q559" s="119"/>
      <c r="R559" s="119"/>
      <c r="S559" s="119"/>
      <c r="T559" s="119"/>
      <c r="U559" s="119"/>
      <c r="V559" s="119"/>
      <c r="W559" s="356"/>
      <c r="X559" s="290"/>
      <c r="Y559" s="290"/>
      <c r="Z559" s="290"/>
      <c r="AA559" s="290"/>
      <c r="AB559" s="290"/>
      <c r="AC559" s="290"/>
      <c r="AD559" s="290"/>
      <c r="AE559" s="364"/>
      <c r="AF559" s="362"/>
    </row>
    <row r="560" spans="1:103" outlineLevel="1" x14ac:dyDescent="0.25">
      <c r="A560" s="456" t="s">
        <v>1394</v>
      </c>
      <c r="B560" s="478" t="s">
        <v>1395</v>
      </c>
      <c r="C560" s="431"/>
      <c r="D560" s="119"/>
      <c r="E560" s="110"/>
      <c r="F560" s="119"/>
      <c r="G560" s="294"/>
      <c r="H560" s="490"/>
      <c r="I560" s="290"/>
      <c r="J560" s="119">
        <f t="shared" si="212"/>
        <v>0</v>
      </c>
      <c r="K560" s="290"/>
      <c r="L560" s="290"/>
      <c r="M560" s="354"/>
      <c r="N560" s="353"/>
      <c r="O560" s="431"/>
      <c r="P560" s="119"/>
      <c r="Q560" s="119"/>
      <c r="R560" s="119"/>
      <c r="S560" s="119"/>
      <c r="T560" s="119"/>
      <c r="U560" s="119"/>
      <c r="V560" s="119"/>
      <c r="W560" s="356"/>
      <c r="X560" s="290"/>
      <c r="Y560" s="290"/>
      <c r="Z560" s="290"/>
      <c r="AA560" s="290"/>
      <c r="AB560" s="290"/>
      <c r="AC560" s="290"/>
      <c r="AD560" s="290"/>
      <c r="AE560" s="364"/>
      <c r="AF560" s="362"/>
    </row>
    <row r="561" spans="1:103" s="351" customFormat="1" ht="15.75" x14ac:dyDescent="0.25">
      <c r="A561" s="345" t="s">
        <v>429</v>
      </c>
      <c r="B561" s="474" t="s">
        <v>250</v>
      </c>
      <c r="C561" s="430">
        <f>+C562+C563+C564+C565+C566</f>
        <v>6861.47</v>
      </c>
      <c r="D561" s="455">
        <f>+D562+D563+D564+D565+D566</f>
        <v>10200</v>
      </c>
      <c r="E561" s="274">
        <f>+E562+E563+E564+E565+E566</f>
        <v>8456.8900000000012</v>
      </c>
      <c r="F561" s="455">
        <f>+F562+F563+F564+F565+F566</f>
        <v>7728</v>
      </c>
      <c r="G561" s="292">
        <f t="shared" si="220"/>
        <v>1.3198757763975155</v>
      </c>
      <c r="H561" s="489">
        <f t="shared" ref="H561:H569" si="224">+F561/C561</f>
        <v>1.1262892645453524</v>
      </c>
      <c r="I561" s="349"/>
      <c r="J561" s="347">
        <f>+J562+J563+J564+J565+J566</f>
        <v>2800</v>
      </c>
      <c r="K561" s="291"/>
      <c r="L561" s="291">
        <f t="shared" si="203"/>
        <v>7728</v>
      </c>
      <c r="M561" s="348">
        <f>+J561/L561</f>
        <v>0.36231884057971014</v>
      </c>
      <c r="N561" s="392"/>
      <c r="O561" s="430">
        <f>SUM(O562:O566)</f>
        <v>2800</v>
      </c>
      <c r="P561" s="455">
        <f t="shared" ref="P561:W561" si="225">SUM(P562:P566)</f>
        <v>0</v>
      </c>
      <c r="Q561" s="455">
        <f t="shared" si="225"/>
        <v>0</v>
      </c>
      <c r="R561" s="455">
        <f t="shared" si="225"/>
        <v>0</v>
      </c>
      <c r="S561" s="455">
        <f t="shared" si="225"/>
        <v>0</v>
      </c>
      <c r="T561" s="455">
        <f t="shared" si="225"/>
        <v>0</v>
      </c>
      <c r="U561" s="455">
        <f t="shared" si="225"/>
        <v>0</v>
      </c>
      <c r="V561" s="455">
        <v>-10000</v>
      </c>
      <c r="W561" s="350">
        <f t="shared" si="225"/>
        <v>0</v>
      </c>
      <c r="X561" s="349">
        <f>SUM(X562:X566)</f>
        <v>3500</v>
      </c>
      <c r="Y561" s="349">
        <f t="shared" ref="Y561:AF561" si="226">SUM(Y562:Y566)</f>
        <v>1628</v>
      </c>
      <c r="Z561" s="349">
        <f t="shared" si="226"/>
        <v>2600</v>
      </c>
      <c r="AA561" s="349">
        <f t="shared" si="226"/>
        <v>0</v>
      </c>
      <c r="AB561" s="349">
        <f t="shared" si="226"/>
        <v>0</v>
      </c>
      <c r="AC561" s="349">
        <f t="shared" si="226"/>
        <v>0</v>
      </c>
      <c r="AD561" s="349">
        <f t="shared" si="226"/>
        <v>0</v>
      </c>
      <c r="AE561" s="349">
        <f t="shared" si="226"/>
        <v>0</v>
      </c>
      <c r="AF561" s="359">
        <f t="shared" si="226"/>
        <v>0</v>
      </c>
      <c r="AG561" s="293"/>
      <c r="AH561" s="293"/>
      <c r="AI561" s="293"/>
      <c r="AJ561" s="293"/>
      <c r="AK561" s="293"/>
      <c r="AL561" s="293"/>
      <c r="AM561" s="293"/>
      <c r="AN561" s="293"/>
      <c r="AO561" s="293"/>
      <c r="AP561" s="293"/>
      <c r="AQ561" s="293"/>
      <c r="AR561" s="293"/>
      <c r="AS561" s="293"/>
      <c r="AT561" s="293"/>
      <c r="AU561" s="293"/>
      <c r="AV561" s="293"/>
      <c r="AW561" s="293"/>
      <c r="AX561" s="293"/>
      <c r="AY561" s="293"/>
      <c r="AZ561" s="293"/>
      <c r="BA561" s="293"/>
      <c r="BB561" s="293"/>
      <c r="BC561" s="293"/>
      <c r="BD561" s="293"/>
      <c r="BE561" s="293"/>
      <c r="BF561" s="293"/>
      <c r="BG561" s="293"/>
      <c r="BH561" s="293"/>
      <c r="BI561" s="293"/>
      <c r="BJ561" s="293"/>
      <c r="BK561" s="293"/>
      <c r="BL561" s="293"/>
      <c r="BM561" s="293"/>
      <c r="BN561" s="293"/>
      <c r="BO561" s="293"/>
      <c r="BP561" s="293"/>
      <c r="BQ561" s="293"/>
      <c r="BR561" s="293"/>
      <c r="BS561" s="293"/>
      <c r="BT561" s="293"/>
      <c r="BU561" s="293"/>
      <c r="BV561" s="293"/>
      <c r="BW561" s="293"/>
      <c r="BX561" s="293"/>
      <c r="BY561" s="293"/>
      <c r="BZ561" s="293"/>
      <c r="CA561" s="293"/>
      <c r="CB561" s="293"/>
      <c r="CC561" s="293"/>
      <c r="CD561" s="293"/>
      <c r="CE561" s="293"/>
      <c r="CF561" s="293"/>
      <c r="CG561" s="293"/>
      <c r="CH561" s="293"/>
      <c r="CI561" s="293"/>
      <c r="CJ561" s="293"/>
      <c r="CK561" s="293"/>
      <c r="CL561" s="293"/>
      <c r="CM561" s="293"/>
      <c r="CN561" s="293"/>
      <c r="CO561" s="293"/>
      <c r="CP561" s="293"/>
      <c r="CQ561" s="293"/>
      <c r="CR561" s="293"/>
      <c r="CS561" s="293"/>
      <c r="CT561" s="293"/>
      <c r="CU561" s="293"/>
      <c r="CV561" s="293"/>
      <c r="CW561" s="293"/>
      <c r="CX561" s="293"/>
      <c r="CY561" s="293"/>
    </row>
    <row r="562" spans="1:103" outlineLevel="1" x14ac:dyDescent="0.25">
      <c r="A562" s="352" t="s">
        <v>430</v>
      </c>
      <c r="B562" s="475" t="s">
        <v>893</v>
      </c>
      <c r="C562" s="431">
        <v>1662.25</v>
      </c>
      <c r="D562" s="119">
        <v>2700</v>
      </c>
      <c r="E562" s="110">
        <v>2364.87</v>
      </c>
      <c r="F562" s="119">
        <f>+L562</f>
        <v>0</v>
      </c>
      <c r="G562" s="294"/>
      <c r="H562" s="490">
        <f t="shared" si="224"/>
        <v>0</v>
      </c>
      <c r="I562" s="290"/>
      <c r="J562" s="119">
        <f t="shared" si="212"/>
        <v>300</v>
      </c>
      <c r="K562" s="290"/>
      <c r="L562" s="290">
        <f t="shared" si="203"/>
        <v>0</v>
      </c>
      <c r="M562" s="354"/>
      <c r="N562" s="353"/>
      <c r="O562" s="431">
        <v>300</v>
      </c>
      <c r="P562" s="119"/>
      <c r="Q562" s="119"/>
      <c r="R562" s="119"/>
      <c r="S562" s="119"/>
      <c r="T562" s="119"/>
      <c r="U562" s="119"/>
      <c r="V562" s="119"/>
      <c r="W562" s="356"/>
      <c r="X562" s="290"/>
      <c r="Y562" s="119"/>
      <c r="Z562" s="119"/>
      <c r="AA562" s="119"/>
      <c r="AB562" s="119"/>
      <c r="AC562" s="119"/>
      <c r="AD562" s="119"/>
      <c r="AE562" s="355"/>
      <c r="AF562" s="356"/>
    </row>
    <row r="563" spans="1:103" outlineLevel="1" x14ac:dyDescent="0.25">
      <c r="A563" s="352" t="s">
        <v>431</v>
      </c>
      <c r="B563" s="475" t="s">
        <v>1406</v>
      </c>
      <c r="C563" s="431">
        <v>1238.1600000000001</v>
      </c>
      <c r="D563" s="119"/>
      <c r="E563" s="110">
        <v>1152.3</v>
      </c>
      <c r="F563" s="119">
        <f>+L563</f>
        <v>3600</v>
      </c>
      <c r="G563" s="294">
        <f t="shared" si="220"/>
        <v>0</v>
      </c>
      <c r="H563" s="490">
        <f t="shared" si="224"/>
        <v>2.9075402209730568</v>
      </c>
      <c r="I563" s="290"/>
      <c r="J563" s="119">
        <f t="shared" si="212"/>
        <v>0</v>
      </c>
      <c r="K563" s="290"/>
      <c r="L563" s="290">
        <f t="shared" si="203"/>
        <v>3600</v>
      </c>
      <c r="M563" s="354">
        <f t="shared" ref="M563:M569" si="227">+J563/L563</f>
        <v>0</v>
      </c>
      <c r="N563" s="353"/>
      <c r="O563" s="431"/>
      <c r="P563" s="119"/>
      <c r="Q563" s="119"/>
      <c r="R563" s="119"/>
      <c r="S563" s="119"/>
      <c r="T563" s="119"/>
      <c r="U563" s="119"/>
      <c r="V563" s="119"/>
      <c r="W563" s="356"/>
      <c r="X563" s="290">
        <v>1000</v>
      </c>
      <c r="Y563" s="119"/>
      <c r="Z563" s="119">
        <v>2600</v>
      </c>
      <c r="AA563" s="119"/>
      <c r="AB563" s="119"/>
      <c r="AC563" s="119"/>
      <c r="AD563" s="119"/>
      <c r="AE563" s="355"/>
      <c r="AF563" s="356"/>
    </row>
    <row r="564" spans="1:103" outlineLevel="1" x14ac:dyDescent="0.25">
      <c r="A564" s="352" t="s">
        <v>432</v>
      </c>
      <c r="B564" s="475" t="s">
        <v>1012</v>
      </c>
      <c r="C564" s="431">
        <v>632.24</v>
      </c>
      <c r="D564" s="119"/>
      <c r="E564" s="110">
        <v>641.46</v>
      </c>
      <c r="F564" s="119">
        <f>+L564</f>
        <v>1128</v>
      </c>
      <c r="G564" s="294">
        <f t="shared" si="220"/>
        <v>0</v>
      </c>
      <c r="H564" s="490">
        <f t="shared" si="224"/>
        <v>1.7841326078704289</v>
      </c>
      <c r="I564" s="290"/>
      <c r="J564" s="119">
        <f t="shared" si="212"/>
        <v>0</v>
      </c>
      <c r="K564" s="290"/>
      <c r="L564" s="290">
        <f t="shared" si="203"/>
        <v>1128</v>
      </c>
      <c r="M564" s="354">
        <f t="shared" si="227"/>
        <v>0</v>
      </c>
      <c r="N564" s="353"/>
      <c r="O564" s="431"/>
      <c r="P564" s="119"/>
      <c r="Q564" s="119"/>
      <c r="R564" s="119"/>
      <c r="S564" s="119"/>
      <c r="T564" s="119"/>
      <c r="U564" s="119"/>
      <c r="V564" s="119"/>
      <c r="W564" s="356"/>
      <c r="X564" s="290"/>
      <c r="Y564" s="119">
        <v>1128</v>
      </c>
      <c r="Z564" s="119"/>
      <c r="AA564" s="119"/>
      <c r="AB564" s="119"/>
      <c r="AC564" s="119"/>
      <c r="AD564" s="119"/>
      <c r="AE564" s="355"/>
      <c r="AF564" s="356"/>
    </row>
    <row r="565" spans="1:103" outlineLevel="1" x14ac:dyDescent="0.25">
      <c r="A565" s="352" t="s">
        <v>1010</v>
      </c>
      <c r="B565" s="475" t="s">
        <v>837</v>
      </c>
      <c r="C565" s="431">
        <v>3040.69</v>
      </c>
      <c r="D565" s="119">
        <v>4000</v>
      </c>
      <c r="E565" s="110">
        <v>3762.4</v>
      </c>
      <c r="F565" s="119">
        <f>+L565</f>
        <v>2500</v>
      </c>
      <c r="G565" s="294">
        <f t="shared" si="220"/>
        <v>1.6</v>
      </c>
      <c r="H565" s="490">
        <f t="shared" si="224"/>
        <v>0.82218180741871083</v>
      </c>
      <c r="I565" s="290"/>
      <c r="J565" s="119">
        <f t="shared" si="212"/>
        <v>2500</v>
      </c>
      <c r="K565" s="290"/>
      <c r="L565" s="290">
        <f t="shared" si="203"/>
        <v>2500</v>
      </c>
      <c r="M565" s="354">
        <f t="shared" si="227"/>
        <v>1</v>
      </c>
      <c r="N565" s="353"/>
      <c r="O565" s="431">
        <f>+X565</f>
        <v>2500</v>
      </c>
      <c r="P565" s="119"/>
      <c r="Q565" s="119"/>
      <c r="R565" s="119"/>
      <c r="S565" s="119"/>
      <c r="T565" s="119"/>
      <c r="U565" s="119"/>
      <c r="V565" s="119"/>
      <c r="W565" s="356"/>
      <c r="X565" s="290">
        <v>2500</v>
      </c>
      <c r="Y565" s="119"/>
      <c r="Z565" s="119"/>
      <c r="AA565" s="119"/>
      <c r="AB565" s="119"/>
      <c r="AC565" s="119"/>
      <c r="AD565" s="119"/>
      <c r="AE565" s="355"/>
      <c r="AF565" s="356"/>
    </row>
    <row r="566" spans="1:103" outlineLevel="1" x14ac:dyDescent="0.25">
      <c r="A566" s="352" t="s">
        <v>1011</v>
      </c>
      <c r="B566" s="475" t="s">
        <v>1428</v>
      </c>
      <c r="C566" s="431">
        <v>288.13</v>
      </c>
      <c r="D566" s="525">
        <v>3500</v>
      </c>
      <c r="E566" s="110">
        <v>535.86</v>
      </c>
      <c r="F566" s="119">
        <f>+L566</f>
        <v>500</v>
      </c>
      <c r="G566" s="294">
        <f t="shared" si="220"/>
        <v>7</v>
      </c>
      <c r="H566" s="490">
        <f t="shared" si="224"/>
        <v>1.7353278034220665</v>
      </c>
      <c r="I566" s="290"/>
      <c r="J566" s="119">
        <f t="shared" si="212"/>
        <v>0</v>
      </c>
      <c r="K566" s="290"/>
      <c r="L566" s="290">
        <f t="shared" si="203"/>
        <v>500</v>
      </c>
      <c r="M566" s="354">
        <f t="shared" si="227"/>
        <v>0</v>
      </c>
      <c r="N566" s="353"/>
      <c r="O566" s="431"/>
      <c r="P566" s="119"/>
      <c r="Q566" s="119"/>
      <c r="R566" s="119"/>
      <c r="S566" s="119"/>
      <c r="T566" s="119"/>
      <c r="U566" s="119"/>
      <c r="V566" s="119"/>
      <c r="W566" s="356"/>
      <c r="X566" s="290"/>
      <c r="Y566" s="119">
        <v>500</v>
      </c>
      <c r="Z566" s="119"/>
      <c r="AA566" s="119"/>
      <c r="AB566" s="119"/>
      <c r="AC566" s="119"/>
      <c r="AD566" s="119"/>
      <c r="AE566" s="355"/>
      <c r="AF566" s="356"/>
    </row>
    <row r="567" spans="1:103" s="351" customFormat="1" ht="15.75" x14ac:dyDescent="0.25">
      <c r="A567" s="345" t="s">
        <v>434</v>
      </c>
      <c r="B567" s="474" t="s">
        <v>495</v>
      </c>
      <c r="C567" s="430">
        <f>+C568</f>
        <v>20000</v>
      </c>
      <c r="D567" s="455">
        <f>+D568</f>
        <v>20000</v>
      </c>
      <c r="E567" s="274">
        <f>+E568</f>
        <v>20000</v>
      </c>
      <c r="F567" s="455">
        <f>+F568</f>
        <v>20000</v>
      </c>
      <c r="G567" s="292">
        <f t="shared" si="220"/>
        <v>1</v>
      </c>
      <c r="H567" s="489">
        <f t="shared" si="224"/>
        <v>1</v>
      </c>
      <c r="I567" s="349"/>
      <c r="J567" s="347">
        <f t="shared" si="212"/>
        <v>20000</v>
      </c>
      <c r="K567" s="291"/>
      <c r="L567" s="291">
        <f t="shared" si="203"/>
        <v>20000</v>
      </c>
      <c r="M567" s="348">
        <f t="shared" si="227"/>
        <v>1</v>
      </c>
      <c r="N567" s="392"/>
      <c r="O567" s="430">
        <f>+O568</f>
        <v>0</v>
      </c>
      <c r="P567" s="455">
        <f t="shared" ref="P567:AF567" si="228">SUM(P568:P568)</f>
        <v>2800</v>
      </c>
      <c r="Q567" s="455">
        <f t="shared" si="228"/>
        <v>10200</v>
      </c>
      <c r="R567" s="455">
        <f t="shared" si="228"/>
        <v>0</v>
      </c>
      <c r="S567" s="455">
        <f t="shared" si="228"/>
        <v>0</v>
      </c>
      <c r="T567" s="455">
        <f t="shared" si="228"/>
        <v>3000</v>
      </c>
      <c r="U567" s="455">
        <f t="shared" si="228"/>
        <v>0</v>
      </c>
      <c r="V567" s="455">
        <f t="shared" si="228"/>
        <v>4000</v>
      </c>
      <c r="W567" s="350">
        <f t="shared" si="228"/>
        <v>0</v>
      </c>
      <c r="X567" s="349">
        <f t="shared" si="228"/>
        <v>0</v>
      </c>
      <c r="Y567" s="455">
        <f t="shared" si="228"/>
        <v>2714</v>
      </c>
      <c r="Z567" s="455">
        <f t="shared" si="228"/>
        <v>14286</v>
      </c>
      <c r="AA567" s="455">
        <f t="shared" si="228"/>
        <v>0</v>
      </c>
      <c r="AB567" s="455">
        <f t="shared" si="228"/>
        <v>0</v>
      </c>
      <c r="AC567" s="455">
        <f t="shared" si="228"/>
        <v>3000</v>
      </c>
      <c r="AD567" s="455">
        <f t="shared" si="228"/>
        <v>0</v>
      </c>
      <c r="AE567" s="455">
        <f t="shared" si="228"/>
        <v>0</v>
      </c>
      <c r="AF567" s="350">
        <f t="shared" si="228"/>
        <v>0</v>
      </c>
      <c r="AG567" s="293"/>
      <c r="AH567" s="293"/>
      <c r="AI567" s="293"/>
      <c r="AJ567" s="293"/>
      <c r="AK567" s="293"/>
      <c r="AL567" s="293"/>
      <c r="AM567" s="293"/>
      <c r="AN567" s="293"/>
      <c r="AO567" s="293"/>
      <c r="AP567" s="293"/>
      <c r="AQ567" s="293"/>
      <c r="AR567" s="293"/>
      <c r="AS567" s="293"/>
      <c r="AT567" s="293"/>
      <c r="AU567" s="293"/>
      <c r="AV567" s="293"/>
      <c r="AW567" s="293"/>
      <c r="AX567" s="293"/>
      <c r="AY567" s="293"/>
      <c r="AZ567" s="293"/>
      <c r="BA567" s="293"/>
      <c r="BB567" s="293"/>
      <c r="BC567" s="293"/>
      <c r="BD567" s="293"/>
      <c r="BE567" s="293"/>
      <c r="BF567" s="293"/>
      <c r="BG567" s="293"/>
      <c r="BH567" s="293"/>
      <c r="BI567" s="293"/>
      <c r="BJ567" s="293"/>
      <c r="BK567" s="293"/>
      <c r="BL567" s="293"/>
      <c r="BM567" s="293"/>
      <c r="BN567" s="293"/>
      <c r="BO567" s="293"/>
      <c r="BP567" s="293"/>
      <c r="BQ567" s="293"/>
      <c r="BR567" s="293"/>
      <c r="BS567" s="293"/>
      <c r="BT567" s="293"/>
      <c r="BU567" s="293"/>
      <c r="BV567" s="293"/>
      <c r="BW567" s="293"/>
      <c r="BX567" s="293"/>
      <c r="BY567" s="293"/>
      <c r="BZ567" s="293"/>
      <c r="CA567" s="293"/>
      <c r="CB567" s="293"/>
      <c r="CC567" s="293"/>
      <c r="CD567" s="293"/>
      <c r="CE567" s="293"/>
      <c r="CF567" s="293"/>
      <c r="CG567" s="293"/>
      <c r="CH567" s="293"/>
      <c r="CI567" s="293"/>
      <c r="CJ567" s="293"/>
      <c r="CK567" s="293"/>
      <c r="CL567" s="293"/>
      <c r="CM567" s="293"/>
      <c r="CN567" s="293"/>
      <c r="CO567" s="293"/>
      <c r="CP567" s="293"/>
      <c r="CQ567" s="293"/>
      <c r="CR567" s="293"/>
      <c r="CS567" s="293"/>
      <c r="CT567" s="293"/>
      <c r="CU567" s="293"/>
      <c r="CV567" s="293"/>
      <c r="CW567" s="293"/>
      <c r="CX567" s="293"/>
      <c r="CY567" s="293"/>
    </row>
    <row r="568" spans="1:103" outlineLevel="1" x14ac:dyDescent="0.25">
      <c r="A568" s="352" t="s">
        <v>435</v>
      </c>
      <c r="B568" s="475" t="s">
        <v>495</v>
      </c>
      <c r="C568" s="431">
        <v>20000</v>
      </c>
      <c r="D568" s="119">
        <v>20000</v>
      </c>
      <c r="E568" s="110">
        <v>20000</v>
      </c>
      <c r="F568" s="119">
        <v>20000</v>
      </c>
      <c r="G568" s="294">
        <f t="shared" si="220"/>
        <v>1</v>
      </c>
      <c r="H568" s="490">
        <f t="shared" si="224"/>
        <v>1</v>
      </c>
      <c r="I568" s="290"/>
      <c r="J568" s="119">
        <f t="shared" si="212"/>
        <v>20000</v>
      </c>
      <c r="K568" s="290"/>
      <c r="L568" s="290">
        <f t="shared" si="203"/>
        <v>20000</v>
      </c>
      <c r="M568" s="354">
        <f t="shared" si="227"/>
        <v>1</v>
      </c>
      <c r="N568" s="353"/>
      <c r="O568" s="431"/>
      <c r="P568" s="119">
        <v>2800</v>
      </c>
      <c r="Q568" s="119">
        <v>10200</v>
      </c>
      <c r="R568" s="119"/>
      <c r="S568" s="119"/>
      <c r="T568" s="119">
        <v>3000</v>
      </c>
      <c r="U568" s="119"/>
      <c r="V568" s="119">
        <v>4000</v>
      </c>
      <c r="W568" s="356"/>
      <c r="X568" s="290"/>
      <c r="Y568" s="119">
        <v>2714</v>
      </c>
      <c r="Z568" s="119">
        <v>14286</v>
      </c>
      <c r="AA568" s="119"/>
      <c r="AB568" s="119"/>
      <c r="AC568" s="119">
        <v>3000</v>
      </c>
      <c r="AD568" s="119"/>
      <c r="AE568" s="355"/>
      <c r="AF568" s="356"/>
    </row>
    <row r="569" spans="1:103" s="344" customFormat="1" ht="21" x14ac:dyDescent="0.35">
      <c r="A569" s="513" t="s">
        <v>436</v>
      </c>
      <c r="B569" s="473" t="s">
        <v>416</v>
      </c>
      <c r="C569" s="429">
        <f>+C571+C576+C581+C585+C589+C595+C601</f>
        <v>301462.48</v>
      </c>
      <c r="D569" s="339">
        <f>+D571+D576+D581+D585+D589+D595+D601</f>
        <v>237393.95249999998</v>
      </c>
      <c r="E569" s="501">
        <f>+E571+E576+E581+E585+E589+E595+E601</f>
        <v>297926.56</v>
      </c>
      <c r="F569" s="339">
        <f>+F571+F576+F581+F585+F589+F595+F601</f>
        <v>289071.84999999998</v>
      </c>
      <c r="G569" s="340">
        <f t="shared" si="220"/>
        <v>0.82122819119191304</v>
      </c>
      <c r="H569" s="488">
        <f t="shared" si="224"/>
        <v>0.95889826820239787</v>
      </c>
      <c r="I569" s="288">
        <v>288957</v>
      </c>
      <c r="J569" s="339">
        <f t="shared" si="212"/>
        <v>238144.6</v>
      </c>
      <c r="K569" s="288">
        <v>314603.77</v>
      </c>
      <c r="L569" s="288">
        <f t="shared" si="203"/>
        <v>292452</v>
      </c>
      <c r="M569" s="342">
        <f t="shared" si="227"/>
        <v>0.81430320189296024</v>
      </c>
      <c r="N569" s="341">
        <f>+L569/I569</f>
        <v>1.0120952252411259</v>
      </c>
      <c r="O569" s="429">
        <f t="shared" ref="O569:AA569" si="229">O571+O576+O581+O585+O589+O595+O601</f>
        <v>2000</v>
      </c>
      <c r="P569" s="339">
        <f t="shared" si="229"/>
        <v>43103</v>
      </c>
      <c r="Q569" s="339">
        <f t="shared" si="229"/>
        <v>77365.600000000006</v>
      </c>
      <c r="R569" s="339">
        <f t="shared" si="229"/>
        <v>99722</v>
      </c>
      <c r="S569" s="339">
        <f t="shared" si="229"/>
        <v>0</v>
      </c>
      <c r="T569" s="339">
        <f t="shared" si="229"/>
        <v>15000</v>
      </c>
      <c r="U569" s="339">
        <f t="shared" si="229"/>
        <v>0</v>
      </c>
      <c r="V569" s="339">
        <f t="shared" si="229"/>
        <v>0</v>
      </c>
      <c r="W569" s="461">
        <f t="shared" si="229"/>
        <v>954</v>
      </c>
      <c r="X569" s="288">
        <f t="shared" si="229"/>
        <v>6000</v>
      </c>
      <c r="Y569" s="288">
        <f t="shared" si="229"/>
        <v>56280</v>
      </c>
      <c r="Z569" s="288">
        <f t="shared" si="229"/>
        <v>99848</v>
      </c>
      <c r="AA569" s="288">
        <f t="shared" si="229"/>
        <v>95367</v>
      </c>
      <c r="AB569" s="288"/>
      <c r="AC569" s="288">
        <f>+AC571+AC576+AC581+AC585+AC589+AC595+AC601</f>
        <v>34203</v>
      </c>
      <c r="AD569" s="288"/>
      <c r="AE569" s="288">
        <f>AE571+AE576+AE581+AE585+AE589+AE595+AE601</f>
        <v>0</v>
      </c>
      <c r="AF569" s="289">
        <f>AF571+AF576+AF581+AF585+AF589+AF595+AF601</f>
        <v>754</v>
      </c>
      <c r="AG569" s="343"/>
      <c r="AH569" s="343"/>
      <c r="AI569" s="343"/>
      <c r="AJ569" s="343"/>
      <c r="AK569" s="343"/>
      <c r="AL569" s="343"/>
      <c r="AM569" s="343"/>
      <c r="AN569" s="343"/>
      <c r="AO569" s="343"/>
      <c r="AP569" s="343"/>
      <c r="AQ569" s="343"/>
      <c r="AR569" s="343"/>
      <c r="AS569" s="343"/>
      <c r="AT569" s="343"/>
      <c r="AU569" s="343"/>
      <c r="AV569" s="343"/>
      <c r="AW569" s="343"/>
      <c r="AX569" s="343"/>
      <c r="AY569" s="343"/>
      <c r="AZ569" s="343"/>
      <c r="BA569" s="343"/>
      <c r="BB569" s="343"/>
      <c r="BC569" s="343"/>
      <c r="BD569" s="343"/>
      <c r="BE569" s="343"/>
      <c r="BF569" s="343"/>
      <c r="BG569" s="343"/>
      <c r="BH569" s="343"/>
      <c r="BI569" s="343"/>
      <c r="BJ569" s="343"/>
      <c r="BK569" s="343"/>
      <c r="BL569" s="343"/>
      <c r="BM569" s="343"/>
      <c r="BN569" s="343"/>
      <c r="BO569" s="343"/>
      <c r="BP569" s="343"/>
      <c r="BQ569" s="343"/>
      <c r="BR569" s="343"/>
      <c r="BS569" s="343"/>
      <c r="BT569" s="343"/>
      <c r="BU569" s="343"/>
      <c r="BV569" s="343"/>
      <c r="BW569" s="343"/>
      <c r="BX569" s="343"/>
      <c r="BY569" s="343"/>
      <c r="BZ569" s="343"/>
      <c r="CA569" s="343"/>
      <c r="CB569" s="343"/>
      <c r="CC569" s="343"/>
      <c r="CD569" s="343"/>
      <c r="CE569" s="343"/>
      <c r="CF569" s="343"/>
      <c r="CG569" s="343"/>
      <c r="CH569" s="343"/>
      <c r="CI569" s="343"/>
      <c r="CJ569" s="343"/>
      <c r="CK569" s="343"/>
      <c r="CL569" s="343"/>
      <c r="CM569" s="343"/>
      <c r="CN569" s="343"/>
      <c r="CO569" s="343"/>
      <c r="CP569" s="343"/>
      <c r="CQ569" s="343"/>
      <c r="CR569" s="343"/>
      <c r="CS569" s="343"/>
      <c r="CT569" s="343"/>
      <c r="CU569" s="343"/>
      <c r="CV569" s="343"/>
      <c r="CW569" s="343"/>
      <c r="CX569" s="343"/>
      <c r="CY569" s="343"/>
    </row>
    <row r="570" spans="1:103" s="344" customFormat="1" ht="21" x14ac:dyDescent="0.35">
      <c r="A570" s="394"/>
      <c r="B570" s="479" t="s">
        <v>1343</v>
      </c>
      <c r="C570" s="433"/>
      <c r="D570" s="415"/>
      <c r="E570" s="507">
        <v>13387.93</v>
      </c>
      <c r="F570" s="415"/>
      <c r="G570" s="416"/>
      <c r="H570" s="495"/>
      <c r="I570" s="386">
        <v>-12506</v>
      </c>
      <c r="J570" s="383">
        <v>-13388</v>
      </c>
      <c r="K570" s="386"/>
      <c r="L570" s="386">
        <f>+J570</f>
        <v>-13388</v>
      </c>
      <c r="M570" s="395"/>
      <c r="N570" s="417"/>
      <c r="O570" s="434">
        <f>+X570</f>
        <v>0</v>
      </c>
      <c r="P570" s="415"/>
      <c r="Q570" s="415"/>
      <c r="R570" s="415"/>
      <c r="S570" s="415"/>
      <c r="T570" s="415"/>
      <c r="U570" s="415"/>
      <c r="V570" s="415"/>
      <c r="W570" s="521"/>
      <c r="X570" s="396"/>
      <c r="Y570" s="396"/>
      <c r="Z570" s="396"/>
      <c r="AA570" s="396"/>
      <c r="AB570" s="396"/>
      <c r="AC570" s="396"/>
      <c r="AD570" s="396"/>
      <c r="AE570" s="396"/>
      <c r="AF570" s="397"/>
      <c r="AG570" s="343"/>
      <c r="AH570" s="343"/>
      <c r="AI570" s="343"/>
      <c r="AJ570" s="343"/>
      <c r="AK570" s="343"/>
      <c r="AL570" s="343"/>
      <c r="AM570" s="343"/>
      <c r="AN570" s="343"/>
      <c r="AO570" s="343"/>
      <c r="AP570" s="343"/>
      <c r="AQ570" s="343"/>
      <c r="AR570" s="343"/>
      <c r="AS570" s="343"/>
      <c r="AT570" s="343"/>
      <c r="AU570" s="343"/>
      <c r="AV570" s="343"/>
      <c r="AW570" s="343"/>
      <c r="AX570" s="343"/>
      <c r="AY570" s="343"/>
      <c r="AZ570" s="343"/>
      <c r="BA570" s="343"/>
      <c r="BB570" s="343"/>
      <c r="BC570" s="343"/>
      <c r="BD570" s="343"/>
      <c r="BE570" s="343"/>
      <c r="BF570" s="343"/>
      <c r="BG570" s="343"/>
      <c r="BH570" s="343"/>
      <c r="BI570" s="343"/>
      <c r="BJ570" s="343"/>
      <c r="BK570" s="343"/>
      <c r="BL570" s="343"/>
      <c r="BM570" s="343"/>
      <c r="BN570" s="343"/>
      <c r="BO570" s="343"/>
      <c r="BP570" s="343"/>
      <c r="BQ570" s="343"/>
      <c r="BR570" s="343"/>
      <c r="BS570" s="343"/>
      <c r="BT570" s="343"/>
      <c r="BU570" s="343"/>
      <c r="BV570" s="343"/>
      <c r="BW570" s="343"/>
      <c r="BX570" s="343"/>
      <c r="BY570" s="343"/>
      <c r="BZ570" s="343"/>
      <c r="CA570" s="343"/>
      <c r="CB570" s="343"/>
      <c r="CC570" s="343"/>
      <c r="CD570" s="343"/>
      <c r="CE570" s="343"/>
      <c r="CF570" s="343"/>
      <c r="CG570" s="343"/>
      <c r="CH570" s="343"/>
      <c r="CI570" s="343"/>
      <c r="CJ570" s="343"/>
      <c r="CK570" s="343"/>
      <c r="CL570" s="343"/>
      <c r="CM570" s="343"/>
      <c r="CN570" s="343"/>
      <c r="CO570" s="343"/>
      <c r="CP570" s="343"/>
      <c r="CQ570" s="343"/>
      <c r="CR570" s="343"/>
      <c r="CS570" s="343"/>
      <c r="CT570" s="343"/>
      <c r="CU570" s="343"/>
      <c r="CV570" s="343"/>
      <c r="CW570" s="343"/>
      <c r="CX570" s="343"/>
      <c r="CY570" s="343"/>
    </row>
    <row r="571" spans="1:103" s="351" customFormat="1" ht="15.75" x14ac:dyDescent="0.25">
      <c r="A571" s="345" t="s">
        <v>438</v>
      </c>
      <c r="B571" s="474" t="s">
        <v>265</v>
      </c>
      <c r="C571" s="430">
        <f>+C572+C573+C574+C575</f>
        <v>307.77999999999997</v>
      </c>
      <c r="D571" s="455">
        <f>+D572+D573+D574+D575</f>
        <v>250</v>
      </c>
      <c r="E571" s="274">
        <f>+E572+E573+E574+E575</f>
        <v>2150.23</v>
      </c>
      <c r="F571" s="455">
        <f>+F572+F573+F574+F575</f>
        <v>1000</v>
      </c>
      <c r="G571" s="292">
        <f t="shared" si="220"/>
        <v>0.25</v>
      </c>
      <c r="H571" s="489">
        <f>+F571/C571</f>
        <v>3.249074013906037</v>
      </c>
      <c r="I571" s="349"/>
      <c r="J571" s="347">
        <f>+J572+J573+J574+J575</f>
        <v>1000</v>
      </c>
      <c r="K571" s="291"/>
      <c r="L571" s="291">
        <f t="shared" si="203"/>
        <v>1000</v>
      </c>
      <c r="M571" s="348">
        <f>+J571/L571</f>
        <v>1</v>
      </c>
      <c r="N571" s="392"/>
      <c r="O571" s="430">
        <f>+O572+O573+O574+O575</f>
        <v>1000</v>
      </c>
      <c r="P571" s="455">
        <f>SUM(P572:P575)</f>
        <v>0</v>
      </c>
      <c r="Q571" s="455">
        <f>SUM(Q572:Q575)</f>
        <v>0</v>
      </c>
      <c r="R571" s="455">
        <f>SUM(R572:R575)</f>
        <v>0</v>
      </c>
      <c r="S571" s="455">
        <f>SUM(S572:S575)</f>
        <v>0</v>
      </c>
      <c r="T571" s="455">
        <f t="shared" ref="T571:AA571" si="230">SUM(T572:T575)</f>
        <v>0</v>
      </c>
      <c r="U571" s="455">
        <f t="shared" si="230"/>
        <v>0</v>
      </c>
      <c r="V571" s="455">
        <f t="shared" si="230"/>
        <v>0</v>
      </c>
      <c r="W571" s="350">
        <f t="shared" si="230"/>
        <v>0</v>
      </c>
      <c r="X571" s="349">
        <f t="shared" si="230"/>
        <v>1000</v>
      </c>
      <c r="Y571" s="455">
        <f t="shared" si="230"/>
        <v>0</v>
      </c>
      <c r="Z571" s="455">
        <f t="shared" si="230"/>
        <v>0</v>
      </c>
      <c r="AA571" s="455">
        <f t="shared" si="230"/>
        <v>0</v>
      </c>
      <c r="AB571" s="455">
        <f>SUM(AB572:AB575)</f>
        <v>0</v>
      </c>
      <c r="AC571" s="455">
        <f>SUM(AC572:AC575)</f>
        <v>0</v>
      </c>
      <c r="AD571" s="455">
        <f>SUM(AD572:AD575)</f>
        <v>0</v>
      </c>
      <c r="AE571" s="455">
        <f>SUM(AE572:AE575)</f>
        <v>0</v>
      </c>
      <c r="AF571" s="350">
        <f>SUM(AF572:AF575)</f>
        <v>0</v>
      </c>
      <c r="AG571" s="293"/>
      <c r="AH571" s="293"/>
      <c r="AI571" s="293"/>
      <c r="AJ571" s="293"/>
      <c r="AK571" s="293"/>
      <c r="AL571" s="293"/>
      <c r="AM571" s="293"/>
      <c r="AN571" s="293"/>
      <c r="AO571" s="293"/>
      <c r="AP571" s="293"/>
      <c r="AQ571" s="293"/>
      <c r="AR571" s="293"/>
      <c r="AS571" s="293"/>
      <c r="AT571" s="293"/>
      <c r="AU571" s="293"/>
      <c r="AV571" s="293"/>
      <c r="AW571" s="293"/>
      <c r="AX571" s="293"/>
      <c r="AY571" s="293"/>
      <c r="AZ571" s="293"/>
      <c r="BA571" s="293"/>
      <c r="BB571" s="293"/>
      <c r="BC571" s="293"/>
      <c r="BD571" s="293"/>
      <c r="BE571" s="293"/>
      <c r="BF571" s="293"/>
      <c r="BG571" s="293"/>
      <c r="BH571" s="293"/>
      <c r="BI571" s="293"/>
      <c r="BJ571" s="293"/>
      <c r="BK571" s="293"/>
      <c r="BL571" s="293"/>
      <c r="BM571" s="293"/>
      <c r="BN571" s="293"/>
      <c r="BO571" s="293"/>
      <c r="BP571" s="293"/>
      <c r="BQ571" s="293"/>
      <c r="BR571" s="293"/>
      <c r="BS571" s="293"/>
      <c r="BT571" s="293"/>
      <c r="BU571" s="293"/>
      <c r="BV571" s="293"/>
      <c r="BW571" s="293"/>
      <c r="BX571" s="293"/>
      <c r="BY571" s="293"/>
      <c r="BZ571" s="293"/>
      <c r="CA571" s="293"/>
      <c r="CB571" s="293"/>
      <c r="CC571" s="293"/>
      <c r="CD571" s="293"/>
      <c r="CE571" s="293"/>
      <c r="CF571" s="293"/>
      <c r="CG571" s="293"/>
      <c r="CH571" s="293"/>
      <c r="CI571" s="293"/>
      <c r="CJ571" s="293"/>
      <c r="CK571" s="293"/>
      <c r="CL571" s="293"/>
      <c r="CM571" s="293"/>
      <c r="CN571" s="293"/>
      <c r="CO571" s="293"/>
      <c r="CP571" s="293"/>
      <c r="CQ571" s="293"/>
      <c r="CR571" s="293"/>
      <c r="CS571" s="293"/>
      <c r="CT571" s="293"/>
      <c r="CU571" s="293"/>
      <c r="CV571" s="293"/>
      <c r="CW571" s="293"/>
      <c r="CX571" s="293"/>
      <c r="CY571" s="293"/>
    </row>
    <row r="572" spans="1:103" outlineLevel="1" x14ac:dyDescent="0.25">
      <c r="A572" s="358" t="s">
        <v>439</v>
      </c>
      <c r="B572" s="475" t="s">
        <v>281</v>
      </c>
      <c r="C572" s="431"/>
      <c r="D572" s="119">
        <v>100</v>
      </c>
      <c r="E572" s="110"/>
      <c r="F572" s="119">
        <f>+L572</f>
        <v>200</v>
      </c>
      <c r="G572" s="294">
        <f t="shared" si="220"/>
        <v>0.5</v>
      </c>
      <c r="H572" s="490"/>
      <c r="I572" s="290"/>
      <c r="J572" s="119">
        <f t="shared" si="212"/>
        <v>200</v>
      </c>
      <c r="K572" s="290"/>
      <c r="L572" s="290">
        <f t="shared" si="203"/>
        <v>200</v>
      </c>
      <c r="M572" s="354">
        <f>+J572/L572</f>
        <v>1</v>
      </c>
      <c r="N572" s="353"/>
      <c r="O572" s="524">
        <f>+X572</f>
        <v>200</v>
      </c>
      <c r="P572" s="119"/>
      <c r="Q572" s="119"/>
      <c r="R572" s="119"/>
      <c r="S572" s="119"/>
      <c r="T572" s="119"/>
      <c r="U572" s="119"/>
      <c r="V572" s="119"/>
      <c r="W572" s="356"/>
      <c r="X572" s="290">
        <v>200</v>
      </c>
      <c r="Y572" s="119"/>
      <c r="Z572" s="119"/>
      <c r="AA572" s="119"/>
      <c r="AB572" s="119"/>
      <c r="AC572" s="119"/>
      <c r="AD572" s="119"/>
      <c r="AE572" s="355"/>
      <c r="AF572" s="356"/>
    </row>
    <row r="573" spans="1:103" outlineLevel="1" x14ac:dyDescent="0.25">
      <c r="A573" s="352" t="s">
        <v>440</v>
      </c>
      <c r="B573" s="475" t="s">
        <v>309</v>
      </c>
      <c r="C573" s="431">
        <v>157.5</v>
      </c>
      <c r="D573" s="119">
        <v>150</v>
      </c>
      <c r="E573" s="110">
        <v>81.540000000000006</v>
      </c>
      <c r="F573" s="119">
        <f>+L573</f>
        <v>400</v>
      </c>
      <c r="G573" s="294">
        <f t="shared" si="220"/>
        <v>0.375</v>
      </c>
      <c r="H573" s="490">
        <f>+F573/C573</f>
        <v>2.5396825396825395</v>
      </c>
      <c r="I573" s="290"/>
      <c r="J573" s="119">
        <f t="shared" si="212"/>
        <v>400</v>
      </c>
      <c r="K573" s="290"/>
      <c r="L573" s="290">
        <f t="shared" si="203"/>
        <v>400</v>
      </c>
      <c r="M573" s="354">
        <f>+J573/L573</f>
        <v>1</v>
      </c>
      <c r="N573" s="353"/>
      <c r="O573" s="524">
        <f>+X573</f>
        <v>400</v>
      </c>
      <c r="P573" s="119"/>
      <c r="Q573" s="119"/>
      <c r="R573" s="119"/>
      <c r="S573" s="119"/>
      <c r="T573" s="119"/>
      <c r="U573" s="119"/>
      <c r="V573" s="119"/>
      <c r="W573" s="356"/>
      <c r="X573" s="290">
        <v>400</v>
      </c>
      <c r="Y573" s="119"/>
      <c r="Z573" s="119"/>
      <c r="AA573" s="119"/>
      <c r="AB573" s="119"/>
      <c r="AC573" s="119"/>
      <c r="AD573" s="119"/>
      <c r="AE573" s="355"/>
      <c r="AF573" s="356"/>
    </row>
    <row r="574" spans="1:103" outlineLevel="1" x14ac:dyDescent="0.25">
      <c r="A574" s="352" t="s">
        <v>441</v>
      </c>
      <c r="B574" s="475" t="s">
        <v>285</v>
      </c>
      <c r="C574" s="431"/>
      <c r="D574" s="119"/>
      <c r="E574" s="110">
        <v>524.34</v>
      </c>
      <c r="F574" s="119">
        <f>+L574</f>
        <v>400</v>
      </c>
      <c r="G574" s="294">
        <f t="shared" si="220"/>
        <v>0</v>
      </c>
      <c r="H574" s="490"/>
      <c r="I574" s="290"/>
      <c r="J574" s="119">
        <f t="shared" si="212"/>
        <v>400</v>
      </c>
      <c r="K574" s="290"/>
      <c r="L574" s="290">
        <f t="shared" si="203"/>
        <v>400</v>
      </c>
      <c r="M574" s="354">
        <f>+J574/L574</f>
        <v>1</v>
      </c>
      <c r="N574" s="353"/>
      <c r="O574" s="524">
        <f>+X574</f>
        <v>400</v>
      </c>
      <c r="P574" s="119"/>
      <c r="Q574" s="442"/>
      <c r="R574" s="119"/>
      <c r="S574" s="119"/>
      <c r="T574" s="119"/>
      <c r="U574" s="119"/>
      <c r="V574" s="119"/>
      <c r="W574" s="356"/>
      <c r="X574" s="290">
        <v>400</v>
      </c>
      <c r="Y574" s="119"/>
      <c r="Z574" s="119"/>
      <c r="AA574" s="119"/>
      <c r="AB574" s="119"/>
      <c r="AC574" s="119"/>
      <c r="AD574" s="119"/>
      <c r="AE574" s="355"/>
      <c r="AF574" s="356"/>
    </row>
    <row r="575" spans="1:103" outlineLevel="1" x14ac:dyDescent="0.25">
      <c r="A575" s="352" t="s">
        <v>1139</v>
      </c>
      <c r="B575" s="475" t="s">
        <v>47</v>
      </c>
      <c r="C575" s="431">
        <v>150.28</v>
      </c>
      <c r="D575" s="119"/>
      <c r="E575" s="110">
        <v>1544.35</v>
      </c>
      <c r="F575" s="119">
        <f>+L575</f>
        <v>0</v>
      </c>
      <c r="G575" s="294"/>
      <c r="H575" s="490">
        <f>+F575/C575</f>
        <v>0</v>
      </c>
      <c r="I575" s="290"/>
      <c r="J575" s="119">
        <f t="shared" si="212"/>
        <v>0</v>
      </c>
      <c r="K575" s="290"/>
      <c r="L575" s="290">
        <f t="shared" ref="L575:L641" si="231">+X575+Y575+Z575+AA575+AB575+AC575+AD575+AE575+AF575</f>
        <v>0</v>
      </c>
      <c r="M575" s="354"/>
      <c r="N575" s="353"/>
      <c r="O575" s="431"/>
      <c r="P575" s="119"/>
      <c r="Q575" s="119"/>
      <c r="R575" s="119"/>
      <c r="S575" s="119"/>
      <c r="T575" s="119"/>
      <c r="U575" s="119"/>
      <c r="V575" s="119"/>
      <c r="W575" s="356"/>
      <c r="X575" s="290"/>
      <c r="Y575" s="119"/>
      <c r="Z575" s="119"/>
      <c r="AA575" s="119"/>
      <c r="AB575" s="119"/>
      <c r="AC575" s="119"/>
      <c r="AD575" s="119"/>
      <c r="AE575" s="355"/>
      <c r="AF575" s="356"/>
    </row>
    <row r="576" spans="1:103" s="351" customFormat="1" ht="15.75" x14ac:dyDescent="0.25">
      <c r="A576" s="345" t="s">
        <v>443</v>
      </c>
      <c r="B576" s="474" t="s">
        <v>248</v>
      </c>
      <c r="C576" s="430">
        <f>+C577+C578+C579+C580</f>
        <v>8220.5500000000011</v>
      </c>
      <c r="D576" s="455">
        <f>+D577+D578+D579+D580</f>
        <v>11000</v>
      </c>
      <c r="E576" s="274">
        <f>+E577+E578+E579+E580</f>
        <v>13023.56</v>
      </c>
      <c r="F576" s="455">
        <f>+F577+F578+F579+F580</f>
        <v>18265</v>
      </c>
      <c r="G576" s="292">
        <f t="shared" si="220"/>
        <v>0.60224473035860937</v>
      </c>
      <c r="H576" s="489">
        <f>+F576/C576</f>
        <v>2.2218707993990665</v>
      </c>
      <c r="I576" s="349"/>
      <c r="J576" s="347">
        <f>+J577+J578+J579+J580</f>
        <v>11000</v>
      </c>
      <c r="K576" s="291"/>
      <c r="L576" s="291">
        <f t="shared" si="231"/>
        <v>20100</v>
      </c>
      <c r="M576" s="348">
        <f>+J576/L576</f>
        <v>0.54726368159203975</v>
      </c>
      <c r="N576" s="392"/>
      <c r="O576" s="430">
        <f>+O577+O578+O579+O580</f>
        <v>0</v>
      </c>
      <c r="P576" s="455">
        <f t="shared" ref="P576:W576" si="232">SUM(P577:P580)</f>
        <v>11000</v>
      </c>
      <c r="Q576" s="455">
        <f t="shared" si="232"/>
        <v>0</v>
      </c>
      <c r="R576" s="455">
        <f t="shared" si="232"/>
        <v>0</v>
      </c>
      <c r="S576" s="455">
        <f t="shared" si="232"/>
        <v>0</v>
      </c>
      <c r="T576" s="455">
        <f t="shared" si="232"/>
        <v>0</v>
      </c>
      <c r="U576" s="455">
        <f t="shared" si="232"/>
        <v>0</v>
      </c>
      <c r="V576" s="455">
        <f t="shared" si="232"/>
        <v>0</v>
      </c>
      <c r="W576" s="350">
        <f t="shared" si="232"/>
        <v>0</v>
      </c>
      <c r="X576" s="349">
        <f>SUM(X577:X580)</f>
        <v>0</v>
      </c>
      <c r="Y576" s="349">
        <f t="shared" ref="Y576:AF576" si="233">SUM(Y577:Y580)</f>
        <v>20100</v>
      </c>
      <c r="Z576" s="349">
        <f t="shared" si="233"/>
        <v>0</v>
      </c>
      <c r="AA576" s="349">
        <f t="shared" si="233"/>
        <v>0</v>
      </c>
      <c r="AB576" s="349">
        <f t="shared" si="233"/>
        <v>0</v>
      </c>
      <c r="AC576" s="349">
        <f t="shared" si="233"/>
        <v>0</v>
      </c>
      <c r="AD576" s="349">
        <f t="shared" si="233"/>
        <v>0</v>
      </c>
      <c r="AE576" s="349">
        <f t="shared" si="233"/>
        <v>0</v>
      </c>
      <c r="AF576" s="359">
        <f t="shared" si="233"/>
        <v>0</v>
      </c>
      <c r="AG576" s="293"/>
      <c r="AH576" s="293"/>
      <c r="AI576" s="293"/>
      <c r="AJ576" s="293"/>
      <c r="AK576" s="293"/>
      <c r="AL576" s="293"/>
      <c r="AM576" s="293"/>
      <c r="AN576" s="293"/>
      <c r="AO576" s="293"/>
      <c r="AP576" s="293"/>
      <c r="AQ576" s="293"/>
      <c r="AR576" s="293"/>
      <c r="AS576" s="293"/>
      <c r="AT576" s="293"/>
      <c r="AU576" s="293"/>
      <c r="AV576" s="293"/>
      <c r="AW576" s="293"/>
      <c r="AX576" s="293"/>
      <c r="AY576" s="293"/>
      <c r="AZ576" s="293"/>
      <c r="BA576" s="293"/>
      <c r="BB576" s="293"/>
      <c r="BC576" s="293"/>
      <c r="BD576" s="293"/>
      <c r="BE576" s="293"/>
      <c r="BF576" s="293"/>
      <c r="BG576" s="293"/>
      <c r="BH576" s="293"/>
      <c r="BI576" s="293"/>
      <c r="BJ576" s="293"/>
      <c r="BK576" s="293"/>
      <c r="BL576" s="293"/>
      <c r="BM576" s="293"/>
      <c r="BN576" s="293"/>
      <c r="BO576" s="293"/>
      <c r="BP576" s="293"/>
      <c r="BQ576" s="293"/>
      <c r="BR576" s="293"/>
      <c r="BS576" s="293"/>
      <c r="BT576" s="293"/>
      <c r="BU576" s="293"/>
      <c r="BV576" s="293"/>
      <c r="BW576" s="293"/>
      <c r="BX576" s="293"/>
      <c r="BY576" s="293"/>
      <c r="BZ576" s="293"/>
      <c r="CA576" s="293"/>
      <c r="CB576" s="293"/>
      <c r="CC576" s="293"/>
      <c r="CD576" s="293"/>
      <c r="CE576" s="293"/>
      <c r="CF576" s="293"/>
      <c r="CG576" s="293"/>
      <c r="CH576" s="293"/>
      <c r="CI576" s="293"/>
      <c r="CJ576" s="293"/>
      <c r="CK576" s="293"/>
      <c r="CL576" s="293"/>
      <c r="CM576" s="293"/>
      <c r="CN576" s="293"/>
      <c r="CO576" s="293"/>
      <c r="CP576" s="293"/>
      <c r="CQ576" s="293"/>
      <c r="CR576" s="293"/>
      <c r="CS576" s="293"/>
      <c r="CT576" s="293"/>
      <c r="CU576" s="293"/>
      <c r="CV576" s="293"/>
      <c r="CW576" s="293"/>
      <c r="CX576" s="293"/>
      <c r="CY576" s="293"/>
    </row>
    <row r="577" spans="1:103" outlineLevel="1" x14ac:dyDescent="0.25">
      <c r="A577" s="352" t="s">
        <v>444</v>
      </c>
      <c r="B577" s="475" t="s">
        <v>1187</v>
      </c>
      <c r="C577" s="431">
        <v>2800.31</v>
      </c>
      <c r="D577" s="119">
        <v>3500</v>
      </c>
      <c r="E577" s="110">
        <v>3056.44</v>
      </c>
      <c r="F577" s="119">
        <f>+L577</f>
        <v>5110</v>
      </c>
      <c r="G577" s="294">
        <f t="shared" si="220"/>
        <v>0.68493150684931503</v>
      </c>
      <c r="H577" s="490">
        <f>+F577/C577</f>
        <v>1.8247979687963118</v>
      </c>
      <c r="I577" s="290"/>
      <c r="J577" s="119">
        <f t="shared" si="212"/>
        <v>3500</v>
      </c>
      <c r="K577" s="290"/>
      <c r="L577" s="290">
        <f t="shared" si="231"/>
        <v>5110</v>
      </c>
      <c r="M577" s="354">
        <f>+J577/L577</f>
        <v>0.68493150684931503</v>
      </c>
      <c r="N577" s="353"/>
      <c r="O577" s="431"/>
      <c r="P577" s="119">
        <v>3500</v>
      </c>
      <c r="Q577" s="119"/>
      <c r="R577" s="119"/>
      <c r="S577" s="119"/>
      <c r="T577" s="119"/>
      <c r="U577" s="119"/>
      <c r="V577" s="119"/>
      <c r="W577" s="356"/>
      <c r="X577" s="290"/>
      <c r="Y577" s="119">
        <v>5110</v>
      </c>
      <c r="Z577" s="119"/>
      <c r="AA577" s="119"/>
      <c r="AB577" s="119"/>
      <c r="AC577" s="119"/>
      <c r="AD577" s="119"/>
      <c r="AE577" s="355"/>
      <c r="AF577" s="356"/>
    </row>
    <row r="578" spans="1:103" outlineLevel="1" x14ac:dyDescent="0.25">
      <c r="A578" s="352" t="s">
        <v>445</v>
      </c>
      <c r="B578" s="475" t="s">
        <v>864</v>
      </c>
      <c r="C578" s="431"/>
      <c r="D578" s="119">
        <v>7500</v>
      </c>
      <c r="E578" s="110">
        <f>2967.12+7000</f>
        <v>9967.119999999999</v>
      </c>
      <c r="F578" s="119">
        <f>+L578-300-1535</f>
        <v>11655</v>
      </c>
      <c r="G578" s="294">
        <f t="shared" si="220"/>
        <v>0.64350064350064351</v>
      </c>
      <c r="H578" s="490"/>
      <c r="I578" s="290"/>
      <c r="J578" s="119">
        <f t="shared" si="212"/>
        <v>7500</v>
      </c>
      <c r="K578" s="290"/>
      <c r="L578" s="290">
        <f t="shared" si="231"/>
        <v>13490</v>
      </c>
      <c r="M578" s="354">
        <f>+J578/L578</f>
        <v>0.55596738324684947</v>
      </c>
      <c r="N578" s="353"/>
      <c r="O578" s="431"/>
      <c r="P578" s="119">
        <v>7500</v>
      </c>
      <c r="Q578" s="119"/>
      <c r="R578" s="119"/>
      <c r="S578" s="119"/>
      <c r="T578" s="119"/>
      <c r="U578" s="119"/>
      <c r="V578" s="119"/>
      <c r="W578" s="356"/>
      <c r="X578" s="290"/>
      <c r="Y578" s="119">
        <f>20100-6610</f>
        <v>13490</v>
      </c>
      <c r="Z578" s="119"/>
      <c r="AA578" s="119"/>
      <c r="AB578" s="119"/>
      <c r="AC578" s="119"/>
      <c r="AD578" s="119"/>
      <c r="AE578" s="355"/>
      <c r="AF578" s="356"/>
    </row>
    <row r="579" spans="1:103" outlineLevel="1" x14ac:dyDescent="0.25">
      <c r="A579" s="352" t="s">
        <v>446</v>
      </c>
      <c r="B579" s="475" t="s">
        <v>865</v>
      </c>
      <c r="C579" s="431">
        <v>4411.8</v>
      </c>
      <c r="D579" s="119"/>
      <c r="E579" s="110"/>
      <c r="F579" s="119">
        <f>+L579</f>
        <v>1500</v>
      </c>
      <c r="G579" s="294">
        <f t="shared" si="220"/>
        <v>0</v>
      </c>
      <c r="H579" s="490">
        <f>+F579/C579</f>
        <v>0.33999728002175983</v>
      </c>
      <c r="I579" s="290"/>
      <c r="J579" s="119">
        <f t="shared" si="212"/>
        <v>0</v>
      </c>
      <c r="K579" s="290"/>
      <c r="L579" s="290">
        <f t="shared" si="231"/>
        <v>1500</v>
      </c>
      <c r="M579" s="354">
        <f>+J579/L579</f>
        <v>0</v>
      </c>
      <c r="N579" s="353"/>
      <c r="O579" s="431"/>
      <c r="P579" s="119"/>
      <c r="Q579" s="119"/>
      <c r="R579" s="119"/>
      <c r="S579" s="119"/>
      <c r="T579" s="119"/>
      <c r="U579" s="119"/>
      <c r="V579" s="119"/>
      <c r="W579" s="356"/>
      <c r="X579" s="290"/>
      <c r="Y579" s="119">
        <v>1500</v>
      </c>
      <c r="Z579" s="119"/>
      <c r="AA579" s="119"/>
      <c r="AB579" s="119"/>
      <c r="AC579" s="119"/>
      <c r="AD579" s="119"/>
      <c r="AE579" s="355"/>
      <c r="AF579" s="356"/>
    </row>
    <row r="580" spans="1:103" outlineLevel="1" x14ac:dyDescent="0.25">
      <c r="A580" s="352" t="s">
        <v>1181</v>
      </c>
      <c r="B580" s="475" t="s">
        <v>1188</v>
      </c>
      <c r="C580" s="431">
        <v>1008.44</v>
      </c>
      <c r="D580" s="119"/>
      <c r="E580" s="110"/>
      <c r="F580" s="119">
        <f>+L580</f>
        <v>0</v>
      </c>
      <c r="G580" s="294"/>
      <c r="H580" s="490">
        <f>+F580/C580</f>
        <v>0</v>
      </c>
      <c r="I580" s="290"/>
      <c r="J580" s="119">
        <f t="shared" si="212"/>
        <v>0</v>
      </c>
      <c r="K580" s="290"/>
      <c r="L580" s="290">
        <f t="shared" si="231"/>
        <v>0</v>
      </c>
      <c r="M580" s="354"/>
      <c r="N580" s="353"/>
      <c r="O580" s="431"/>
      <c r="P580" s="119"/>
      <c r="Q580" s="119"/>
      <c r="R580" s="119"/>
      <c r="S580" s="119"/>
      <c r="T580" s="119"/>
      <c r="U580" s="119"/>
      <c r="V580" s="119"/>
      <c r="W580" s="356"/>
      <c r="X580" s="290"/>
      <c r="Y580" s="119">
        <v>0</v>
      </c>
      <c r="Z580" s="119"/>
      <c r="AA580" s="119"/>
      <c r="AB580" s="119"/>
      <c r="AC580" s="119"/>
      <c r="AD580" s="119"/>
      <c r="AE580" s="355"/>
      <c r="AF580" s="356"/>
    </row>
    <row r="581" spans="1:103" s="351" customFormat="1" ht="15.75" x14ac:dyDescent="0.25">
      <c r="A581" s="345" t="s">
        <v>447</v>
      </c>
      <c r="B581" s="474" t="s">
        <v>656</v>
      </c>
      <c r="C581" s="430">
        <f>+C582+C584</f>
        <v>68850.84</v>
      </c>
      <c r="D581" s="455">
        <f>+D582+D584+D583</f>
        <v>59540</v>
      </c>
      <c r="E581" s="274">
        <f>+E582+E584+E583</f>
        <v>56559.17</v>
      </c>
      <c r="F581" s="455">
        <f>+F582+F584+F583</f>
        <v>59578</v>
      </c>
      <c r="G581" s="292">
        <f t="shared" si="220"/>
        <v>0.99936218067071736</v>
      </c>
      <c r="H581" s="489">
        <f>+F581/C581</f>
        <v>0.86531987118820919</v>
      </c>
      <c r="I581" s="349"/>
      <c r="J581" s="347">
        <f>+J582+J583+J584</f>
        <v>59540.397499999999</v>
      </c>
      <c r="K581" s="291"/>
      <c r="L581" s="291">
        <f t="shared" si="231"/>
        <v>59577.95</v>
      </c>
      <c r="M581" s="348">
        <f>+J581/L581</f>
        <v>0.999369691303578</v>
      </c>
      <c r="N581" s="392"/>
      <c r="O581" s="430">
        <f t="shared" ref="O581:AF581" si="234">SUM(O582:O584)</f>
        <v>0</v>
      </c>
      <c r="P581" s="455">
        <f t="shared" si="234"/>
        <v>17878</v>
      </c>
      <c r="Q581" s="455">
        <f t="shared" si="234"/>
        <v>22988.959999999999</v>
      </c>
      <c r="R581" s="455">
        <f t="shared" si="234"/>
        <v>18673.4375</v>
      </c>
      <c r="S581" s="455">
        <f t="shared" si="234"/>
        <v>0</v>
      </c>
      <c r="T581" s="455">
        <f t="shared" si="234"/>
        <v>0</v>
      </c>
      <c r="U581" s="455">
        <f t="shared" si="234"/>
        <v>0</v>
      </c>
      <c r="V581" s="455">
        <f t="shared" si="234"/>
        <v>0</v>
      </c>
      <c r="W581" s="350">
        <f t="shared" si="234"/>
        <v>0</v>
      </c>
      <c r="X581" s="349">
        <f t="shared" si="234"/>
        <v>0</v>
      </c>
      <c r="Y581" s="455">
        <f t="shared" si="234"/>
        <v>15700</v>
      </c>
      <c r="Z581" s="455">
        <f t="shared" si="234"/>
        <v>28736.199999999997</v>
      </c>
      <c r="AA581" s="455">
        <f t="shared" si="234"/>
        <v>14938.75</v>
      </c>
      <c r="AB581" s="455">
        <f t="shared" si="234"/>
        <v>0</v>
      </c>
      <c r="AC581" s="455">
        <f t="shared" si="234"/>
        <v>203</v>
      </c>
      <c r="AD581" s="455">
        <f t="shared" si="234"/>
        <v>0</v>
      </c>
      <c r="AE581" s="455">
        <f t="shared" si="234"/>
        <v>0</v>
      </c>
      <c r="AF581" s="350">
        <f t="shared" si="234"/>
        <v>0</v>
      </c>
      <c r="AG581" s="293"/>
      <c r="AH581" s="293"/>
      <c r="AI581" s="293"/>
      <c r="AJ581" s="293"/>
      <c r="AK581" s="293"/>
      <c r="AL581" s="293"/>
      <c r="AM581" s="293"/>
      <c r="AN581" s="293"/>
      <c r="AO581" s="293"/>
      <c r="AP581" s="293"/>
      <c r="AQ581" s="293"/>
      <c r="AR581" s="293"/>
      <c r="AS581" s="293"/>
      <c r="AT581" s="293"/>
      <c r="AU581" s="293"/>
      <c r="AV581" s="293"/>
      <c r="AW581" s="293"/>
      <c r="AX581" s="293"/>
      <c r="AY581" s="293"/>
      <c r="AZ581" s="293"/>
      <c r="BA581" s="293"/>
      <c r="BB581" s="293"/>
      <c r="BC581" s="293"/>
      <c r="BD581" s="293"/>
      <c r="BE581" s="293"/>
      <c r="BF581" s="293"/>
      <c r="BG581" s="293"/>
      <c r="BH581" s="293"/>
      <c r="BI581" s="293"/>
      <c r="BJ581" s="293"/>
      <c r="BK581" s="293"/>
      <c r="BL581" s="293"/>
      <c r="BM581" s="293"/>
      <c r="BN581" s="293"/>
      <c r="BO581" s="293"/>
      <c r="BP581" s="293"/>
      <c r="BQ581" s="293"/>
      <c r="BR581" s="293"/>
      <c r="BS581" s="293"/>
      <c r="BT581" s="293"/>
      <c r="BU581" s="293"/>
      <c r="BV581" s="293"/>
      <c r="BW581" s="293"/>
      <c r="BX581" s="293"/>
      <c r="BY581" s="293"/>
      <c r="BZ581" s="293"/>
      <c r="CA581" s="293"/>
      <c r="CB581" s="293"/>
      <c r="CC581" s="293"/>
      <c r="CD581" s="293"/>
      <c r="CE581" s="293"/>
      <c r="CF581" s="293"/>
      <c r="CG581" s="293"/>
      <c r="CH581" s="293"/>
      <c r="CI581" s="293"/>
      <c r="CJ581" s="293"/>
      <c r="CK581" s="293"/>
      <c r="CL581" s="293"/>
      <c r="CM581" s="293"/>
      <c r="CN581" s="293"/>
      <c r="CO581" s="293"/>
      <c r="CP581" s="293"/>
      <c r="CQ581" s="293"/>
      <c r="CR581" s="293"/>
      <c r="CS581" s="293"/>
      <c r="CT581" s="293"/>
      <c r="CU581" s="293"/>
      <c r="CV581" s="293"/>
      <c r="CW581" s="293"/>
      <c r="CX581" s="293"/>
      <c r="CY581" s="293"/>
    </row>
    <row r="582" spans="1:103" outlineLevel="1" x14ac:dyDescent="0.25">
      <c r="A582" s="352" t="s">
        <v>448</v>
      </c>
      <c r="B582" s="475" t="s">
        <v>862</v>
      </c>
      <c r="C582" s="431">
        <v>68823.839999999997</v>
      </c>
      <c r="D582" s="119">
        <f>60000-3500</f>
        <v>56500</v>
      </c>
      <c r="E582" s="110">
        <v>53059.17</v>
      </c>
      <c r="F582" s="119">
        <f>57703-5600</f>
        <v>52103</v>
      </c>
      <c r="G582" s="294">
        <f t="shared" si="220"/>
        <v>1.084390534134311</v>
      </c>
      <c r="H582" s="490">
        <f>+F582/C582</f>
        <v>0.75704872032714254</v>
      </c>
      <c r="I582" s="290"/>
      <c r="J582" s="119">
        <f t="shared" si="212"/>
        <v>53242.397499999999</v>
      </c>
      <c r="K582" s="290"/>
      <c r="L582" s="290">
        <f t="shared" si="231"/>
        <v>52102.95</v>
      </c>
      <c r="M582" s="354">
        <f>+J582/L582</f>
        <v>1.021869155201385</v>
      </c>
      <c r="N582" s="353"/>
      <c r="O582" s="431"/>
      <c r="P582" s="119">
        <v>17000</v>
      </c>
      <c r="Q582" s="119">
        <f>+Z582*0.8</f>
        <v>17568.96</v>
      </c>
      <c r="R582" s="119">
        <f>+AA582*1.25</f>
        <v>18673.4375</v>
      </c>
      <c r="S582" s="119"/>
      <c r="T582" s="119"/>
      <c r="U582" s="119"/>
      <c r="V582" s="119"/>
      <c r="W582" s="356"/>
      <c r="X582" s="290"/>
      <c r="Y582" s="119">
        <v>15000</v>
      </c>
      <c r="Z582" s="119">
        <f>39172*0.85-4384-1351-5600</f>
        <v>21961.199999999997</v>
      </c>
      <c r="AA582" s="119">
        <f>17575*0.85</f>
        <v>14938.75</v>
      </c>
      <c r="AB582" s="119"/>
      <c r="AC582" s="119">
        <v>203</v>
      </c>
      <c r="AD582" s="119"/>
      <c r="AE582" s="355"/>
      <c r="AF582" s="356"/>
    </row>
    <row r="583" spans="1:103" outlineLevel="1" x14ac:dyDescent="0.25">
      <c r="A583" s="352" t="s">
        <v>449</v>
      </c>
      <c r="B583" s="475" t="s">
        <v>1360</v>
      </c>
      <c r="C583" s="431"/>
      <c r="D583" s="119">
        <v>3040</v>
      </c>
      <c r="E583" s="110">
        <v>3500</v>
      </c>
      <c r="F583" s="119">
        <f>5600+7500*0.25</f>
        <v>7475</v>
      </c>
      <c r="G583" s="294">
        <f t="shared" si="220"/>
        <v>0.40668896321070236</v>
      </c>
      <c r="H583" s="490"/>
      <c r="I583" s="290"/>
      <c r="J583" s="119">
        <f t="shared" si="212"/>
        <v>6298</v>
      </c>
      <c r="K583" s="290"/>
      <c r="L583" s="290">
        <f t="shared" si="231"/>
        <v>7475</v>
      </c>
      <c r="M583" s="354">
        <f>+J583/L583</f>
        <v>0.8425418060200669</v>
      </c>
      <c r="N583" s="353"/>
      <c r="O583" s="431"/>
      <c r="P583" s="119">
        <v>878</v>
      </c>
      <c r="Q583" s="119">
        <f>+Z583*0.8</f>
        <v>5420</v>
      </c>
      <c r="R583" s="119"/>
      <c r="S583" s="119"/>
      <c r="T583" s="119"/>
      <c r="U583" s="119"/>
      <c r="V583" s="119"/>
      <c r="W583" s="356"/>
      <c r="X583" s="290"/>
      <c r="Y583" s="119">
        <v>700</v>
      </c>
      <c r="Z583" s="119">
        <f>5600+1175</f>
        <v>6775</v>
      </c>
      <c r="AA583" s="119"/>
      <c r="AB583" s="119"/>
      <c r="AC583" s="119"/>
      <c r="AD583" s="119"/>
      <c r="AE583" s="355"/>
      <c r="AF583" s="356"/>
    </row>
    <row r="584" spans="1:103" outlineLevel="1" x14ac:dyDescent="0.25">
      <c r="A584" s="352" t="s">
        <v>1140</v>
      </c>
      <c r="B584" s="475" t="s">
        <v>47</v>
      </c>
      <c r="C584" s="431">
        <v>27</v>
      </c>
      <c r="D584" s="119"/>
      <c r="E584" s="110"/>
      <c r="F584" s="119"/>
      <c r="G584" s="294"/>
      <c r="H584" s="490">
        <f>+F584/C584</f>
        <v>0</v>
      </c>
      <c r="I584" s="290"/>
      <c r="J584" s="119">
        <f t="shared" si="212"/>
        <v>0</v>
      </c>
      <c r="K584" s="290"/>
      <c r="L584" s="290">
        <f t="shared" si="231"/>
        <v>0</v>
      </c>
      <c r="M584" s="354"/>
      <c r="N584" s="353"/>
      <c r="O584" s="431"/>
      <c r="P584" s="119"/>
      <c r="Q584" s="119"/>
      <c r="R584" s="119"/>
      <c r="S584" s="119"/>
      <c r="T584" s="119"/>
      <c r="U584" s="119"/>
      <c r="V584" s="119"/>
      <c r="W584" s="356"/>
      <c r="X584" s="290"/>
      <c r="Y584" s="119"/>
      <c r="Z584" s="119"/>
      <c r="AA584" s="119"/>
      <c r="AB584" s="119"/>
      <c r="AC584" s="119"/>
      <c r="AD584" s="119"/>
      <c r="AE584" s="355"/>
      <c r="AF584" s="356"/>
    </row>
    <row r="585" spans="1:103" s="351" customFormat="1" ht="15.75" x14ac:dyDescent="0.25">
      <c r="A585" s="345" t="s">
        <v>450</v>
      </c>
      <c r="B585" s="474" t="s">
        <v>657</v>
      </c>
      <c r="C585" s="430">
        <f>+C586+C588</f>
        <v>82508.13</v>
      </c>
      <c r="D585" s="455">
        <f>+D586+D588+D587</f>
        <v>93189</v>
      </c>
      <c r="E585" s="274">
        <f>+E586+E588+E587</f>
        <v>85681.790000000008</v>
      </c>
      <c r="F585" s="455">
        <f>+F586+F588+F587</f>
        <v>75625</v>
      </c>
      <c r="G585" s="292">
        <f t="shared" si="220"/>
        <v>1.2322512396694214</v>
      </c>
      <c r="H585" s="489">
        <f>+F585/C585</f>
        <v>0.91657634223439555</v>
      </c>
      <c r="I585" s="349"/>
      <c r="J585" s="347">
        <f>+J586+J587+J588</f>
        <v>93189.05</v>
      </c>
      <c r="K585" s="291"/>
      <c r="L585" s="291">
        <f t="shared" si="231"/>
        <v>75625.2</v>
      </c>
      <c r="M585" s="348">
        <f>+J585/L585</f>
        <v>1.2322486419870626</v>
      </c>
      <c r="N585" s="392"/>
      <c r="O585" s="430">
        <f t="shared" ref="O585:AF585" si="235">SUM(O586:O588)</f>
        <v>0</v>
      </c>
      <c r="P585" s="455">
        <f t="shared" si="235"/>
        <v>2100</v>
      </c>
      <c r="Q585" s="455">
        <f t="shared" si="235"/>
        <v>21008.800000000003</v>
      </c>
      <c r="R585" s="455">
        <f t="shared" si="235"/>
        <v>59080.25</v>
      </c>
      <c r="S585" s="455">
        <f t="shared" si="235"/>
        <v>0</v>
      </c>
      <c r="T585" s="455">
        <f t="shared" si="235"/>
        <v>11000</v>
      </c>
      <c r="U585" s="455">
        <f t="shared" si="235"/>
        <v>0</v>
      </c>
      <c r="V585" s="455">
        <f t="shared" si="235"/>
        <v>0</v>
      </c>
      <c r="W585" s="350">
        <f t="shared" si="235"/>
        <v>0</v>
      </c>
      <c r="X585" s="349">
        <f t="shared" si="235"/>
        <v>0</v>
      </c>
      <c r="Y585" s="455">
        <f t="shared" si="235"/>
        <v>2100</v>
      </c>
      <c r="Z585" s="455">
        <f t="shared" si="235"/>
        <v>26261</v>
      </c>
      <c r="AA585" s="455">
        <f t="shared" si="235"/>
        <v>47264.2</v>
      </c>
      <c r="AB585" s="455">
        <f t="shared" si="235"/>
        <v>0</v>
      </c>
      <c r="AC585" s="455">
        <f t="shared" si="235"/>
        <v>0</v>
      </c>
      <c r="AD585" s="455">
        <f t="shared" si="235"/>
        <v>0</v>
      </c>
      <c r="AE585" s="455">
        <f t="shared" si="235"/>
        <v>0</v>
      </c>
      <c r="AF585" s="350">
        <f t="shared" si="235"/>
        <v>0</v>
      </c>
      <c r="AG585" s="293"/>
      <c r="AH585" s="293"/>
      <c r="AI585" s="293"/>
      <c r="AJ585" s="293"/>
      <c r="AK585" s="293"/>
      <c r="AL585" s="293"/>
      <c r="AM585" s="293"/>
      <c r="AN585" s="293"/>
      <c r="AO585" s="293"/>
      <c r="AP585" s="293"/>
      <c r="AQ585" s="293"/>
      <c r="AR585" s="293"/>
      <c r="AS585" s="293"/>
      <c r="AT585" s="293"/>
      <c r="AU585" s="293"/>
      <c r="AV585" s="293"/>
      <c r="AW585" s="293"/>
      <c r="AX585" s="293"/>
      <c r="AY585" s="293"/>
      <c r="AZ585" s="293"/>
      <c r="BA585" s="293"/>
      <c r="BB585" s="293"/>
      <c r="BC585" s="293"/>
      <c r="BD585" s="293"/>
      <c r="BE585" s="293"/>
      <c r="BF585" s="293"/>
      <c r="BG585" s="293"/>
      <c r="BH585" s="293"/>
      <c r="BI585" s="293"/>
      <c r="BJ585" s="293"/>
      <c r="BK585" s="293"/>
      <c r="BL585" s="293"/>
      <c r="BM585" s="293"/>
      <c r="BN585" s="293"/>
      <c r="BO585" s="293"/>
      <c r="BP585" s="293"/>
      <c r="BQ585" s="293"/>
      <c r="BR585" s="293"/>
      <c r="BS585" s="293"/>
      <c r="BT585" s="293"/>
      <c r="BU585" s="293"/>
      <c r="BV585" s="293"/>
      <c r="BW585" s="293"/>
      <c r="BX585" s="293"/>
      <c r="BY585" s="293"/>
      <c r="BZ585" s="293"/>
      <c r="CA585" s="293"/>
      <c r="CB585" s="293"/>
      <c r="CC585" s="293"/>
      <c r="CD585" s="293"/>
      <c r="CE585" s="293"/>
      <c r="CF585" s="293"/>
      <c r="CG585" s="293"/>
      <c r="CH585" s="293"/>
      <c r="CI585" s="293"/>
      <c r="CJ585" s="293"/>
      <c r="CK585" s="293"/>
      <c r="CL585" s="293"/>
      <c r="CM585" s="293"/>
      <c r="CN585" s="293"/>
      <c r="CO585" s="293"/>
      <c r="CP585" s="293"/>
      <c r="CQ585" s="293"/>
      <c r="CR585" s="293"/>
      <c r="CS585" s="293"/>
      <c r="CT585" s="293"/>
      <c r="CU585" s="293"/>
      <c r="CV585" s="293"/>
      <c r="CW585" s="293"/>
      <c r="CX585" s="293"/>
      <c r="CY585" s="293"/>
    </row>
    <row r="586" spans="1:103" outlineLevel="1" x14ac:dyDescent="0.25">
      <c r="A586" s="352" t="s">
        <v>451</v>
      </c>
      <c r="B586" s="475" t="s">
        <v>862</v>
      </c>
      <c r="C586" s="431">
        <v>82481.13</v>
      </c>
      <c r="D586" s="119">
        <v>88629</v>
      </c>
      <c r="E586" s="110">
        <v>76712.22</v>
      </c>
      <c r="F586" s="119">
        <f>70000-8400</f>
        <v>61600</v>
      </c>
      <c r="G586" s="294">
        <f t="shared" si="220"/>
        <v>1.4387824675324676</v>
      </c>
      <c r="H586" s="490">
        <f>+F586/C586</f>
        <v>0.7468374887686432</v>
      </c>
      <c r="I586" s="290"/>
      <c r="J586" s="119">
        <f t="shared" si="212"/>
        <v>81549.05</v>
      </c>
      <c r="K586" s="290"/>
      <c r="L586" s="290">
        <f t="shared" si="231"/>
        <v>61600.2</v>
      </c>
      <c r="M586" s="354">
        <f>+J586/L586</f>
        <v>1.3238439160911817</v>
      </c>
      <c r="N586" s="353"/>
      <c r="O586" s="431"/>
      <c r="P586" s="119"/>
      <c r="Q586" s="119">
        <f>+Z586*0.8</f>
        <v>11468.800000000001</v>
      </c>
      <c r="R586" s="119">
        <f>+AA586*1.25</f>
        <v>59080.25</v>
      </c>
      <c r="S586" s="119"/>
      <c r="T586" s="119">
        <v>11000</v>
      </c>
      <c r="U586" s="119"/>
      <c r="V586" s="119"/>
      <c r="W586" s="356"/>
      <c r="X586" s="290"/>
      <c r="Y586" s="119">
        <v>0</v>
      </c>
      <c r="Z586" s="119">
        <f>36660*0.85-8425-8400</f>
        <v>14336</v>
      </c>
      <c r="AA586" s="119">
        <f>77792*0.85-18859</f>
        <v>47264.2</v>
      </c>
      <c r="AB586" s="119"/>
      <c r="AC586" s="119"/>
      <c r="AD586" s="119"/>
      <c r="AE586" s="355"/>
      <c r="AF586" s="356"/>
    </row>
    <row r="587" spans="1:103" outlineLevel="1" x14ac:dyDescent="0.25">
      <c r="A587" s="352" t="s">
        <v>452</v>
      </c>
      <c r="B587" s="475" t="s">
        <v>1361</v>
      </c>
      <c r="C587" s="431"/>
      <c r="D587" s="119">
        <v>4560</v>
      </c>
      <c r="E587" s="110">
        <v>8969.57</v>
      </c>
      <c r="F587" s="119">
        <f>8400+7500*0.75</f>
        <v>14025</v>
      </c>
      <c r="G587" s="294">
        <f t="shared" si="220"/>
        <v>0.32513368983957219</v>
      </c>
      <c r="H587" s="490"/>
      <c r="I587" s="290"/>
      <c r="J587" s="119">
        <f t="shared" si="212"/>
        <v>11640</v>
      </c>
      <c r="K587" s="290"/>
      <c r="L587" s="290">
        <f t="shared" si="231"/>
        <v>14025</v>
      </c>
      <c r="M587" s="354">
        <f>+J587/L587</f>
        <v>0.82994652406417113</v>
      </c>
      <c r="N587" s="353"/>
      <c r="O587" s="431"/>
      <c r="P587" s="119">
        <v>2100</v>
      </c>
      <c r="Q587" s="119">
        <f>+Z587*0.8</f>
        <v>9540</v>
      </c>
      <c r="R587" s="119"/>
      <c r="S587" s="119"/>
      <c r="T587" s="119"/>
      <c r="U587" s="119"/>
      <c r="V587" s="119"/>
      <c r="W587" s="356"/>
      <c r="X587" s="290"/>
      <c r="Y587" s="119">
        <v>2100</v>
      </c>
      <c r="Z587" s="119">
        <f>674+8400+670+2181</f>
        <v>11925</v>
      </c>
      <c r="AA587" s="119"/>
      <c r="AB587" s="119"/>
      <c r="AC587" s="119"/>
      <c r="AD587" s="119"/>
      <c r="AE587" s="355"/>
      <c r="AF587" s="356"/>
    </row>
    <row r="588" spans="1:103" outlineLevel="1" x14ac:dyDescent="0.25">
      <c r="A588" s="374" t="s">
        <v>1141</v>
      </c>
      <c r="B588" s="475" t="s">
        <v>47</v>
      </c>
      <c r="C588" s="431">
        <v>27</v>
      </c>
      <c r="D588" s="119"/>
      <c r="E588" s="110"/>
      <c r="F588" s="119"/>
      <c r="G588" s="294"/>
      <c r="H588" s="490">
        <f t="shared" ref="H588:H593" si="236">+F588/C588</f>
        <v>0</v>
      </c>
      <c r="I588" s="290"/>
      <c r="J588" s="119">
        <f t="shared" si="212"/>
        <v>0</v>
      </c>
      <c r="K588" s="290"/>
      <c r="L588" s="290">
        <f t="shared" si="231"/>
        <v>0</v>
      </c>
      <c r="M588" s="354"/>
      <c r="N588" s="353"/>
      <c r="O588" s="431"/>
      <c r="P588" s="119"/>
      <c r="Q588" s="119"/>
      <c r="R588" s="119"/>
      <c r="S588" s="119"/>
      <c r="T588" s="119"/>
      <c r="U588" s="119"/>
      <c r="V588" s="119"/>
      <c r="W588" s="356"/>
      <c r="X588" s="290"/>
      <c r="Y588" s="119"/>
      <c r="Z588" s="119"/>
      <c r="AA588" s="119"/>
      <c r="AB588" s="119"/>
      <c r="AC588" s="119"/>
      <c r="AD588" s="119"/>
      <c r="AE588" s="355"/>
      <c r="AF588" s="356"/>
    </row>
    <row r="589" spans="1:103" s="351" customFormat="1" ht="15.75" x14ac:dyDescent="0.25">
      <c r="A589" s="345" t="s">
        <v>453</v>
      </c>
      <c r="B589" s="474" t="s">
        <v>286</v>
      </c>
      <c r="C589" s="430">
        <f>+C590+C591+C592+C593+C594</f>
        <v>91166.060000000012</v>
      </c>
      <c r="D589" s="455">
        <f>+D590+D591+D592+D593+D594</f>
        <v>24396</v>
      </c>
      <c r="E589" s="274">
        <f>+E590+E591+E592+E593+E594</f>
        <v>98577.94</v>
      </c>
      <c r="F589" s="455">
        <f>+F590+F591+F592+F593+F594</f>
        <v>86099</v>
      </c>
      <c r="G589" s="292">
        <f t="shared" si="220"/>
        <v>0.28334823865550124</v>
      </c>
      <c r="H589" s="489">
        <f t="shared" si="236"/>
        <v>0.94441944732502414</v>
      </c>
      <c r="I589" s="349"/>
      <c r="J589" s="347">
        <f>+J590+J591+J592+J593+J594</f>
        <v>24396.2</v>
      </c>
      <c r="K589" s="291"/>
      <c r="L589" s="291">
        <f t="shared" si="231"/>
        <v>82073</v>
      </c>
      <c r="M589" s="348">
        <f>+J589/L589</f>
        <v>0.29725000913820626</v>
      </c>
      <c r="N589" s="392"/>
      <c r="O589" s="430">
        <f t="shared" ref="O589:AF589" si="237">SUM(O590:O594)</f>
        <v>0</v>
      </c>
      <c r="P589" s="455">
        <f t="shared" si="237"/>
        <v>10500</v>
      </c>
      <c r="Q589" s="455">
        <f t="shared" si="237"/>
        <v>5055.2000000000007</v>
      </c>
      <c r="R589" s="455">
        <f t="shared" si="237"/>
        <v>4087</v>
      </c>
      <c r="S589" s="455">
        <f t="shared" si="237"/>
        <v>0</v>
      </c>
      <c r="T589" s="455">
        <f t="shared" si="237"/>
        <v>4000</v>
      </c>
      <c r="U589" s="455">
        <f t="shared" si="237"/>
        <v>0</v>
      </c>
      <c r="V589" s="455">
        <f t="shared" si="237"/>
        <v>0</v>
      </c>
      <c r="W589" s="350">
        <f t="shared" si="237"/>
        <v>754</v>
      </c>
      <c r="X589" s="349">
        <f t="shared" si="237"/>
        <v>4000</v>
      </c>
      <c r="Y589" s="455">
        <f t="shared" si="237"/>
        <v>15000</v>
      </c>
      <c r="Z589" s="455">
        <f t="shared" si="237"/>
        <v>9460</v>
      </c>
      <c r="AA589" s="455">
        <f t="shared" si="237"/>
        <v>18859</v>
      </c>
      <c r="AB589" s="455">
        <f t="shared" si="237"/>
        <v>0</v>
      </c>
      <c r="AC589" s="455">
        <f t="shared" si="237"/>
        <v>34000</v>
      </c>
      <c r="AD589" s="455">
        <f t="shared" si="237"/>
        <v>0</v>
      </c>
      <c r="AE589" s="455">
        <f t="shared" si="237"/>
        <v>0</v>
      </c>
      <c r="AF589" s="350">
        <f t="shared" si="237"/>
        <v>754</v>
      </c>
      <c r="AG589" s="293"/>
      <c r="AH589" s="293"/>
      <c r="AI589" s="293"/>
      <c r="AJ589" s="293"/>
      <c r="AK589" s="293"/>
      <c r="AL589" s="293"/>
      <c r="AM589" s="293"/>
      <c r="AN589" s="293"/>
      <c r="AO589" s="293"/>
      <c r="AP589" s="293"/>
      <c r="AQ589" s="293"/>
      <c r="AR589" s="293"/>
      <c r="AS589" s="293"/>
      <c r="AT589" s="293"/>
      <c r="AU589" s="293"/>
      <c r="AV589" s="293"/>
      <c r="AW589" s="293"/>
      <c r="AX589" s="293"/>
      <c r="AY589" s="293"/>
      <c r="AZ589" s="293"/>
      <c r="BA589" s="293"/>
      <c r="BB589" s="293"/>
      <c r="BC589" s="293"/>
      <c r="BD589" s="293"/>
      <c r="BE589" s="293"/>
      <c r="BF589" s="293"/>
      <c r="BG589" s="293"/>
      <c r="BH589" s="293"/>
      <c r="BI589" s="293"/>
      <c r="BJ589" s="293"/>
      <c r="BK589" s="293"/>
      <c r="BL589" s="293"/>
      <c r="BM589" s="293"/>
      <c r="BN589" s="293"/>
      <c r="BO589" s="293"/>
      <c r="BP589" s="293"/>
      <c r="BQ589" s="293"/>
      <c r="BR589" s="293"/>
      <c r="BS589" s="293"/>
      <c r="BT589" s="293"/>
      <c r="BU589" s="293"/>
      <c r="BV589" s="293"/>
      <c r="BW589" s="293"/>
      <c r="BX589" s="293"/>
      <c r="BY589" s="293"/>
      <c r="BZ589" s="293"/>
      <c r="CA589" s="293"/>
      <c r="CB589" s="293"/>
      <c r="CC589" s="293"/>
      <c r="CD589" s="293"/>
      <c r="CE589" s="293"/>
      <c r="CF589" s="293"/>
      <c r="CG589" s="293"/>
      <c r="CH589" s="293"/>
      <c r="CI589" s="293"/>
      <c r="CJ589" s="293"/>
      <c r="CK589" s="293"/>
      <c r="CL589" s="293"/>
      <c r="CM589" s="293"/>
      <c r="CN589" s="293"/>
      <c r="CO589" s="293"/>
      <c r="CP589" s="293"/>
      <c r="CQ589" s="293"/>
      <c r="CR589" s="293"/>
      <c r="CS589" s="293"/>
      <c r="CT589" s="293"/>
      <c r="CU589" s="293"/>
      <c r="CV589" s="293"/>
      <c r="CW589" s="293"/>
      <c r="CX589" s="293"/>
      <c r="CY589" s="293"/>
    </row>
    <row r="590" spans="1:103" outlineLevel="1" x14ac:dyDescent="0.25">
      <c r="A590" s="352" t="s">
        <v>454</v>
      </c>
      <c r="B590" s="475" t="s">
        <v>867</v>
      </c>
      <c r="C590" s="431">
        <v>24689.61</v>
      </c>
      <c r="D590" s="119">
        <v>22231</v>
      </c>
      <c r="E590" s="110">
        <v>23969</v>
      </c>
      <c r="F590" s="119">
        <v>22500</v>
      </c>
      <c r="G590" s="294">
        <f t="shared" si="220"/>
        <v>0.98804444444444439</v>
      </c>
      <c r="H590" s="490">
        <f t="shared" si="236"/>
        <v>0.91131451651119644</v>
      </c>
      <c r="I590" s="290"/>
      <c r="J590" s="119">
        <f t="shared" si="212"/>
        <v>23642.2</v>
      </c>
      <c r="K590" s="290"/>
      <c r="L590" s="290">
        <f t="shared" si="231"/>
        <v>20319</v>
      </c>
      <c r="M590" s="354">
        <f>+J590/L590</f>
        <v>1.1635513558738126</v>
      </c>
      <c r="N590" s="353"/>
      <c r="O590" s="431"/>
      <c r="P590" s="119">
        <v>10500</v>
      </c>
      <c r="Q590" s="119">
        <f>+Z590*0.8</f>
        <v>5055.2000000000007</v>
      </c>
      <c r="R590" s="119">
        <v>4087</v>
      </c>
      <c r="S590" s="119"/>
      <c r="T590" s="119">
        <f>+AC590</f>
        <v>4000</v>
      </c>
      <c r="U590" s="119"/>
      <c r="V590" s="119"/>
      <c r="W590" s="356"/>
      <c r="X590" s="290"/>
      <c r="Y590" s="119">
        <v>10000</v>
      </c>
      <c r="Z590" s="119">
        <f>8500-2181</f>
        <v>6319</v>
      </c>
      <c r="AA590" s="119"/>
      <c r="AB590" s="119"/>
      <c r="AC590" s="119">
        <v>4000</v>
      </c>
      <c r="AD590" s="119"/>
      <c r="AE590" s="355"/>
      <c r="AF590" s="356"/>
    </row>
    <row r="591" spans="1:103" outlineLevel="1" x14ac:dyDescent="0.25">
      <c r="A591" s="352" t="s">
        <v>455</v>
      </c>
      <c r="B591" s="475" t="s">
        <v>1409</v>
      </c>
      <c r="C591" s="431">
        <v>63163.12</v>
      </c>
      <c r="D591" s="119"/>
      <c r="E591" s="110">
        <v>72440.98</v>
      </c>
      <c r="F591" s="119">
        <f>+L591</f>
        <v>61000</v>
      </c>
      <c r="G591" s="294">
        <f t="shared" si="220"/>
        <v>0</v>
      </c>
      <c r="H591" s="490">
        <f t="shared" si="236"/>
        <v>0.96575343333261554</v>
      </c>
      <c r="I591" s="290"/>
      <c r="J591" s="119">
        <f t="shared" si="212"/>
        <v>0</v>
      </c>
      <c r="K591" s="290"/>
      <c r="L591" s="290">
        <f t="shared" si="231"/>
        <v>61000</v>
      </c>
      <c r="M591" s="354">
        <f>+J591/L591</f>
        <v>0</v>
      </c>
      <c r="N591" s="353"/>
      <c r="O591" s="431"/>
      <c r="P591" s="119"/>
      <c r="Q591" s="119"/>
      <c r="R591" s="119"/>
      <c r="S591" s="119"/>
      <c r="T591" s="119"/>
      <c r="U591" s="119"/>
      <c r="V591" s="119"/>
      <c r="W591" s="356"/>
      <c r="X591" s="290">
        <v>4000</v>
      </c>
      <c r="Y591" s="119">
        <v>5000</v>
      </c>
      <c r="Z591" s="119">
        <f>4384-1243</f>
        <v>3141</v>
      </c>
      <c r="AA591" s="119">
        <v>18859</v>
      </c>
      <c r="AB591" s="119"/>
      <c r="AC591" s="119">
        <v>30000</v>
      </c>
      <c r="AD591" s="119"/>
      <c r="AE591" s="355"/>
      <c r="AF591" s="356"/>
    </row>
    <row r="592" spans="1:103" outlineLevel="1" x14ac:dyDescent="0.25">
      <c r="A592" s="352" t="s">
        <v>658</v>
      </c>
      <c r="B592" s="475" t="s">
        <v>982</v>
      </c>
      <c r="C592" s="431">
        <v>2716.51</v>
      </c>
      <c r="D592" s="119">
        <v>1750</v>
      </c>
      <c r="E592" s="110">
        <v>1752.32</v>
      </c>
      <c r="F592" s="119">
        <v>2002</v>
      </c>
      <c r="G592" s="294">
        <f t="shared" si="220"/>
        <v>0.87412587412587417</v>
      </c>
      <c r="H592" s="490">
        <f t="shared" si="236"/>
        <v>0.73697501573710378</v>
      </c>
      <c r="I592" s="290"/>
      <c r="J592" s="119">
        <f t="shared" ref="J592:J624" si="238">+O592+P592+Q592+R592+S592+T592+U592+V592+W592</f>
        <v>377</v>
      </c>
      <c r="K592" s="290"/>
      <c r="L592" s="290">
        <f t="shared" si="231"/>
        <v>377</v>
      </c>
      <c r="M592" s="354">
        <f>+J592/L592</f>
        <v>1</v>
      </c>
      <c r="N592" s="353"/>
      <c r="O592" s="431"/>
      <c r="P592" s="119"/>
      <c r="Q592" s="119"/>
      <c r="R592" s="119"/>
      <c r="S592" s="119"/>
      <c r="T592" s="119"/>
      <c r="U592" s="119"/>
      <c r="V592" s="119"/>
      <c r="W592" s="356">
        <v>377</v>
      </c>
      <c r="X592" s="290"/>
      <c r="Y592" s="119"/>
      <c r="Z592" s="119"/>
      <c r="AA592" s="119"/>
      <c r="AB592" s="119"/>
      <c r="AC592" s="119"/>
      <c r="AD592" s="119"/>
      <c r="AE592" s="355"/>
      <c r="AF592" s="356">
        <v>377</v>
      </c>
    </row>
    <row r="593" spans="1:103" outlineLevel="1" x14ac:dyDescent="0.25">
      <c r="A593" s="352" t="s">
        <v>659</v>
      </c>
      <c r="B593" s="475" t="s">
        <v>983</v>
      </c>
      <c r="C593" s="431">
        <v>596.82000000000005</v>
      </c>
      <c r="D593" s="119">
        <v>415</v>
      </c>
      <c r="E593" s="110">
        <v>415.64</v>
      </c>
      <c r="F593" s="119">
        <v>597</v>
      </c>
      <c r="G593" s="294">
        <f t="shared" si="220"/>
        <v>0.69514237855946404</v>
      </c>
      <c r="H593" s="490">
        <f t="shared" si="236"/>
        <v>1.000301598471901</v>
      </c>
      <c r="I593" s="290"/>
      <c r="J593" s="119">
        <f t="shared" si="238"/>
        <v>377</v>
      </c>
      <c r="K593" s="290"/>
      <c r="L593" s="290">
        <f t="shared" si="231"/>
        <v>377</v>
      </c>
      <c r="M593" s="354">
        <f>+J593/L593</f>
        <v>1</v>
      </c>
      <c r="N593" s="353"/>
      <c r="O593" s="431"/>
      <c r="P593" s="119"/>
      <c r="Q593" s="119"/>
      <c r="R593" s="119"/>
      <c r="S593" s="119"/>
      <c r="T593" s="119"/>
      <c r="U593" s="119"/>
      <c r="V593" s="119"/>
      <c r="W593" s="356">
        <v>377</v>
      </c>
      <c r="X593" s="290"/>
      <c r="Y593" s="119"/>
      <c r="Z593" s="119"/>
      <c r="AA593" s="119"/>
      <c r="AB593" s="119"/>
      <c r="AC593" s="119"/>
      <c r="AD593" s="119"/>
      <c r="AE593" s="355"/>
      <c r="AF593" s="356">
        <v>377</v>
      </c>
    </row>
    <row r="594" spans="1:103" outlineLevel="1" x14ac:dyDescent="0.25">
      <c r="A594" s="352" t="s">
        <v>1142</v>
      </c>
      <c r="B594" s="475" t="s">
        <v>47</v>
      </c>
      <c r="C594" s="431"/>
      <c r="D594" s="119"/>
      <c r="E594" s="110"/>
      <c r="F594" s="119">
        <f>+L594</f>
        <v>0</v>
      </c>
      <c r="G594" s="294"/>
      <c r="H594" s="490"/>
      <c r="I594" s="290"/>
      <c r="J594" s="119">
        <f t="shared" si="238"/>
        <v>0</v>
      </c>
      <c r="K594" s="290"/>
      <c r="L594" s="290">
        <f t="shared" si="231"/>
        <v>0</v>
      </c>
      <c r="M594" s="354"/>
      <c r="N594" s="353"/>
      <c r="O594" s="431"/>
      <c r="P594" s="119"/>
      <c r="Q594" s="119"/>
      <c r="R594" s="119"/>
      <c r="S594" s="119"/>
      <c r="T594" s="119"/>
      <c r="U594" s="119"/>
      <c r="V594" s="119"/>
      <c r="W594" s="356"/>
      <c r="X594" s="290"/>
      <c r="Y594" s="119"/>
      <c r="Z594" s="119"/>
      <c r="AA594" s="119"/>
      <c r="AB594" s="119"/>
      <c r="AC594" s="119"/>
      <c r="AD594" s="119"/>
      <c r="AE594" s="355"/>
      <c r="AF594" s="356"/>
    </row>
    <row r="595" spans="1:103" s="351" customFormat="1" ht="15.75" x14ac:dyDescent="0.25">
      <c r="A595" s="345" t="s">
        <v>661</v>
      </c>
      <c r="B595" s="474" t="s">
        <v>250</v>
      </c>
      <c r="C595" s="430">
        <f>+C596+C597+C600+C598</f>
        <v>22149.119999999999</v>
      </c>
      <c r="D595" s="455">
        <f>+D596+D597+D600+D598+D599</f>
        <v>22037.8</v>
      </c>
      <c r="E595" s="274">
        <f>+E596+E597+E600+E598</f>
        <v>16253.869999999999</v>
      </c>
      <c r="F595" s="455">
        <f>+F596+F597+F600+F598</f>
        <v>22825</v>
      </c>
      <c r="G595" s="292">
        <f t="shared" si="220"/>
        <v>0.96551150054764512</v>
      </c>
      <c r="H595" s="489">
        <f>+F595/C595</f>
        <v>1.030514982085067</v>
      </c>
      <c r="I595" s="349"/>
      <c r="J595" s="347">
        <f>+J596+J597+J598+J600+J599</f>
        <v>22037.8</v>
      </c>
      <c r="K595" s="291"/>
      <c r="L595" s="291">
        <f t="shared" si="231"/>
        <v>28396</v>
      </c>
      <c r="M595" s="348">
        <f t="shared" ref="M595:M603" si="239">+J595/L595</f>
        <v>0.77608818143400471</v>
      </c>
      <c r="N595" s="392"/>
      <c r="O595" s="430">
        <f>+O596+O597+O598+O600</f>
        <v>1000</v>
      </c>
      <c r="P595" s="455">
        <f t="shared" ref="P595:W595" si="240">SUM(P596:P600)</f>
        <v>1625</v>
      </c>
      <c r="Q595" s="455">
        <f t="shared" si="240"/>
        <v>19212.8</v>
      </c>
      <c r="R595" s="455">
        <f t="shared" si="240"/>
        <v>0</v>
      </c>
      <c r="S595" s="455">
        <f t="shared" si="240"/>
        <v>0</v>
      </c>
      <c r="T595" s="455">
        <f t="shared" si="240"/>
        <v>0</v>
      </c>
      <c r="U595" s="455">
        <f t="shared" si="240"/>
        <v>0</v>
      </c>
      <c r="V595" s="455">
        <f t="shared" si="240"/>
        <v>0</v>
      </c>
      <c r="W595" s="350">
        <f t="shared" si="240"/>
        <v>200</v>
      </c>
      <c r="X595" s="349">
        <f>SUM(X596:X600)</f>
        <v>1000</v>
      </c>
      <c r="Y595" s="349">
        <f t="shared" ref="Y595:AF595" si="241">SUM(Y596:Y600)</f>
        <v>3380</v>
      </c>
      <c r="Z595" s="349">
        <f t="shared" si="241"/>
        <v>24016</v>
      </c>
      <c r="AA595" s="349">
        <f t="shared" si="241"/>
        <v>0</v>
      </c>
      <c r="AB595" s="349">
        <f t="shared" si="241"/>
        <v>0</v>
      </c>
      <c r="AC595" s="349">
        <f t="shared" si="241"/>
        <v>0</v>
      </c>
      <c r="AD595" s="349">
        <f t="shared" si="241"/>
        <v>0</v>
      </c>
      <c r="AE595" s="349">
        <f t="shared" si="241"/>
        <v>0</v>
      </c>
      <c r="AF595" s="359">
        <f t="shared" si="241"/>
        <v>0</v>
      </c>
      <c r="AG595" s="293"/>
      <c r="AH595" s="293"/>
      <c r="AI595" s="293"/>
      <c r="AJ595" s="293"/>
      <c r="AK595" s="293"/>
      <c r="AL595" s="293"/>
      <c r="AM595" s="293"/>
      <c r="AN595" s="293"/>
      <c r="AO595" s="293"/>
      <c r="AP595" s="293"/>
      <c r="AQ595" s="293"/>
      <c r="AR595" s="293"/>
      <c r="AS595" s="293"/>
      <c r="AT595" s="293"/>
      <c r="AU595" s="293"/>
      <c r="AV595" s="293"/>
      <c r="AW595" s="293"/>
      <c r="AX595" s="293"/>
      <c r="AY595" s="293"/>
      <c r="AZ595" s="293"/>
      <c r="BA595" s="293"/>
      <c r="BB595" s="293"/>
      <c r="BC595" s="293"/>
      <c r="BD595" s="293"/>
      <c r="BE595" s="293"/>
      <c r="BF595" s="293"/>
      <c r="BG595" s="293"/>
      <c r="BH595" s="293"/>
      <c r="BI595" s="293"/>
      <c r="BJ595" s="293"/>
      <c r="BK595" s="293"/>
      <c r="BL595" s="293"/>
      <c r="BM595" s="293"/>
      <c r="BN595" s="293"/>
      <c r="BO595" s="293"/>
      <c r="BP595" s="293"/>
      <c r="BQ595" s="293"/>
      <c r="BR595" s="293"/>
      <c r="BS595" s="293"/>
      <c r="BT595" s="293"/>
      <c r="BU595" s="293"/>
      <c r="BV595" s="293"/>
      <c r="BW595" s="293"/>
      <c r="BX595" s="293"/>
      <c r="BY595" s="293"/>
      <c r="BZ595" s="293"/>
      <c r="CA595" s="293"/>
      <c r="CB595" s="293"/>
      <c r="CC595" s="293"/>
      <c r="CD595" s="293"/>
      <c r="CE595" s="293"/>
      <c r="CF595" s="293"/>
      <c r="CG595" s="293"/>
      <c r="CH595" s="293"/>
      <c r="CI595" s="293"/>
      <c r="CJ595" s="293"/>
      <c r="CK595" s="293"/>
      <c r="CL595" s="293"/>
      <c r="CM595" s="293"/>
      <c r="CN595" s="293"/>
      <c r="CO595" s="293"/>
      <c r="CP595" s="293"/>
      <c r="CQ595" s="293"/>
      <c r="CR595" s="293"/>
      <c r="CS595" s="293"/>
      <c r="CT595" s="293"/>
      <c r="CU595" s="293"/>
      <c r="CV595" s="293"/>
      <c r="CW595" s="293"/>
      <c r="CX595" s="293"/>
      <c r="CY595" s="293"/>
    </row>
    <row r="596" spans="1:103" outlineLevel="1" x14ac:dyDescent="0.25">
      <c r="A596" s="352" t="s">
        <v>662</v>
      </c>
      <c r="B596" s="475" t="s">
        <v>866</v>
      </c>
      <c r="C596" s="431">
        <v>1065.52</v>
      </c>
      <c r="D596" s="119">
        <f>+J596</f>
        <v>125</v>
      </c>
      <c r="E596" s="110">
        <v>125.34</v>
      </c>
      <c r="F596" s="119">
        <f>+L596</f>
        <v>125</v>
      </c>
      <c r="G596" s="294">
        <f t="shared" si="220"/>
        <v>1</v>
      </c>
      <c r="H596" s="490">
        <f>+F596/C596</f>
        <v>0.11731361213304302</v>
      </c>
      <c r="I596" s="290"/>
      <c r="J596" s="119">
        <f t="shared" si="238"/>
        <v>125</v>
      </c>
      <c r="K596" s="290"/>
      <c r="L596" s="290">
        <f t="shared" si="231"/>
        <v>125</v>
      </c>
      <c r="M596" s="354">
        <f t="shared" si="239"/>
        <v>1</v>
      </c>
      <c r="N596" s="353"/>
      <c r="O596" s="431"/>
      <c r="P596" s="119">
        <v>125</v>
      </c>
      <c r="Q596" s="119"/>
      <c r="R596" s="119"/>
      <c r="S596" s="119"/>
      <c r="T596" s="119"/>
      <c r="U596" s="119"/>
      <c r="V596" s="119"/>
      <c r="W596" s="356"/>
      <c r="X596" s="290"/>
      <c r="Y596" s="119">
        <v>125</v>
      </c>
      <c r="Z596" s="119"/>
      <c r="AA596" s="119"/>
      <c r="AB596" s="119"/>
      <c r="AC596" s="119"/>
      <c r="AD596" s="119"/>
      <c r="AE596" s="355"/>
      <c r="AF596" s="356"/>
    </row>
    <row r="597" spans="1:103" outlineLevel="1" x14ac:dyDescent="0.25">
      <c r="A597" s="352" t="s">
        <v>663</v>
      </c>
      <c r="B597" s="475" t="s">
        <v>1024</v>
      </c>
      <c r="C597" s="431">
        <v>18710.78</v>
      </c>
      <c r="D597" s="119">
        <f>+J597</f>
        <v>19212.8</v>
      </c>
      <c r="E597" s="110">
        <v>14387.74</v>
      </c>
      <c r="F597" s="119">
        <v>21000</v>
      </c>
      <c r="G597" s="294">
        <f t="shared" si="220"/>
        <v>0.91489523809523809</v>
      </c>
      <c r="H597" s="490">
        <f>+F597/C597</f>
        <v>1.1223476519952669</v>
      </c>
      <c r="I597" s="290"/>
      <c r="J597" s="119">
        <f t="shared" si="238"/>
        <v>19212.8</v>
      </c>
      <c r="K597" s="290"/>
      <c r="L597" s="290">
        <f t="shared" si="231"/>
        <v>24016</v>
      </c>
      <c r="M597" s="354">
        <f t="shared" si="239"/>
        <v>0.79999999999999993</v>
      </c>
      <c r="N597" s="353"/>
      <c r="O597" s="431"/>
      <c r="P597" s="119"/>
      <c r="Q597" s="119">
        <f>+Z597*0.8</f>
        <v>19212.8</v>
      </c>
      <c r="R597" s="119"/>
      <c r="S597" s="119"/>
      <c r="T597" s="119"/>
      <c r="U597" s="119"/>
      <c r="V597" s="119"/>
      <c r="W597" s="356"/>
      <c r="X597" s="290"/>
      <c r="Y597" s="119"/>
      <c r="Z597" s="119">
        <v>24016</v>
      </c>
      <c r="AA597" s="119"/>
      <c r="AB597" s="119"/>
      <c r="AC597" s="119"/>
      <c r="AD597" s="119"/>
      <c r="AE597" s="355"/>
      <c r="AF597" s="356"/>
    </row>
    <row r="598" spans="1:103" outlineLevel="1" x14ac:dyDescent="0.25">
      <c r="A598" s="352" t="s">
        <v>1306</v>
      </c>
      <c r="B598" s="475" t="s">
        <v>1307</v>
      </c>
      <c r="C598" s="431"/>
      <c r="D598" s="119">
        <f>+J598</f>
        <v>500</v>
      </c>
      <c r="E598" s="110"/>
      <c r="F598" s="119">
        <f>+L598</f>
        <v>500</v>
      </c>
      <c r="G598" s="294">
        <f t="shared" si="220"/>
        <v>1</v>
      </c>
      <c r="H598" s="490"/>
      <c r="I598" s="290"/>
      <c r="J598" s="119">
        <f t="shared" si="238"/>
        <v>500</v>
      </c>
      <c r="K598" s="290"/>
      <c r="L598" s="290">
        <f t="shared" si="231"/>
        <v>500</v>
      </c>
      <c r="M598" s="354">
        <f t="shared" si="239"/>
        <v>1</v>
      </c>
      <c r="N598" s="353"/>
      <c r="O598" s="431">
        <f>+X598</f>
        <v>500</v>
      </c>
      <c r="P598" s="119"/>
      <c r="Q598" s="119"/>
      <c r="R598" s="119"/>
      <c r="S598" s="119"/>
      <c r="T598" s="119"/>
      <c r="U598" s="119"/>
      <c r="V598" s="119"/>
      <c r="W598" s="356"/>
      <c r="X598" s="290">
        <v>500</v>
      </c>
      <c r="Y598" s="119"/>
      <c r="Z598" s="119"/>
      <c r="AA598" s="119"/>
      <c r="AB598" s="119"/>
      <c r="AC598" s="119"/>
      <c r="AD598" s="119"/>
      <c r="AE598" s="355"/>
      <c r="AF598" s="356"/>
    </row>
    <row r="599" spans="1:103" outlineLevel="1" x14ac:dyDescent="0.25">
      <c r="A599" s="515" t="s">
        <v>1440</v>
      </c>
      <c r="B599" s="516" t="s">
        <v>1441</v>
      </c>
      <c r="C599" s="431"/>
      <c r="D599" s="119">
        <f>+J599</f>
        <v>200</v>
      </c>
      <c r="E599" s="110"/>
      <c r="F599" s="119"/>
      <c r="G599" s="294"/>
      <c r="H599" s="490"/>
      <c r="I599" s="290"/>
      <c r="J599" s="119">
        <f t="shared" si="238"/>
        <v>200</v>
      </c>
      <c r="K599" s="290"/>
      <c r="L599" s="290"/>
      <c r="M599" s="354"/>
      <c r="N599" s="353"/>
      <c r="O599" s="431"/>
      <c r="P599" s="119"/>
      <c r="Q599" s="119"/>
      <c r="R599" s="119"/>
      <c r="S599" s="119"/>
      <c r="T599" s="119"/>
      <c r="U599" s="119"/>
      <c r="V599" s="119"/>
      <c r="W599" s="356">
        <v>200</v>
      </c>
      <c r="X599" s="290"/>
      <c r="Y599" s="119"/>
      <c r="Z599" s="119"/>
      <c r="AA599" s="119"/>
      <c r="AB599" s="119"/>
      <c r="AC599" s="119"/>
      <c r="AD599" s="119"/>
      <c r="AE599" s="355"/>
      <c r="AF599" s="356"/>
    </row>
    <row r="600" spans="1:103" outlineLevel="1" x14ac:dyDescent="0.25">
      <c r="A600" s="352" t="s">
        <v>1143</v>
      </c>
      <c r="B600" s="475" t="s">
        <v>47</v>
      </c>
      <c r="C600" s="431">
        <v>2372.8200000000002</v>
      </c>
      <c r="D600" s="119">
        <f>+J600</f>
        <v>2000</v>
      </c>
      <c r="E600" s="110">
        <v>1740.79</v>
      </c>
      <c r="F600" s="119">
        <v>1200</v>
      </c>
      <c r="G600" s="294">
        <f t="shared" si="220"/>
        <v>1.6666666666666667</v>
      </c>
      <c r="H600" s="490">
        <f>+F600/C600</f>
        <v>0.50572736237894145</v>
      </c>
      <c r="I600" s="290"/>
      <c r="J600" s="119">
        <f t="shared" si="238"/>
        <v>2000</v>
      </c>
      <c r="K600" s="290"/>
      <c r="L600" s="290">
        <f t="shared" si="231"/>
        <v>3755</v>
      </c>
      <c r="M600" s="354">
        <f t="shared" si="239"/>
        <v>0.53262316910785623</v>
      </c>
      <c r="N600" s="353"/>
      <c r="O600" s="431">
        <f>+X600</f>
        <v>500</v>
      </c>
      <c r="P600" s="119">
        <v>1500</v>
      </c>
      <c r="Q600" s="119"/>
      <c r="R600" s="119"/>
      <c r="S600" s="119"/>
      <c r="T600" s="119"/>
      <c r="U600" s="119"/>
      <c r="V600" s="119"/>
      <c r="W600" s="356"/>
      <c r="X600" s="290">
        <v>500</v>
      </c>
      <c r="Y600" s="119">
        <f>3380-125</f>
        <v>3255</v>
      </c>
      <c r="Z600" s="119"/>
      <c r="AA600" s="119"/>
      <c r="AB600" s="119"/>
      <c r="AC600" s="119"/>
      <c r="AD600" s="119"/>
      <c r="AE600" s="355"/>
      <c r="AF600" s="356"/>
    </row>
    <row r="601" spans="1:103" s="351" customFormat="1" ht="15.75" x14ac:dyDescent="0.25">
      <c r="A601" s="345" t="s">
        <v>664</v>
      </c>
      <c r="B601" s="474" t="s">
        <v>495</v>
      </c>
      <c r="C601" s="430">
        <f>+C602</f>
        <v>28260</v>
      </c>
      <c r="D601" s="455">
        <f>+D602</f>
        <v>26981.1525</v>
      </c>
      <c r="E601" s="274">
        <f>+E602</f>
        <v>25680</v>
      </c>
      <c r="F601" s="455">
        <f>+F602</f>
        <v>25679.85</v>
      </c>
      <c r="G601" s="292">
        <f t="shared" si="220"/>
        <v>1.0506740693578818</v>
      </c>
      <c r="H601" s="489">
        <f>+F601/C601</f>
        <v>0.90869957537154988</v>
      </c>
      <c r="I601" s="349"/>
      <c r="J601" s="347">
        <f>+J602</f>
        <v>26981.1525</v>
      </c>
      <c r="K601" s="291"/>
      <c r="L601" s="291">
        <f t="shared" si="231"/>
        <v>25679.85</v>
      </c>
      <c r="M601" s="348">
        <f t="shared" si="239"/>
        <v>1.0506740693578818</v>
      </c>
      <c r="N601" s="392"/>
      <c r="O601" s="430">
        <f>+O602</f>
        <v>0</v>
      </c>
      <c r="P601" s="455">
        <f t="shared" ref="P601:AF601" si="242">SUM(P602:P602)</f>
        <v>0</v>
      </c>
      <c r="Q601" s="455">
        <f t="shared" si="242"/>
        <v>9099.84</v>
      </c>
      <c r="R601" s="455">
        <f t="shared" si="242"/>
        <v>17881.3125</v>
      </c>
      <c r="S601" s="455">
        <f t="shared" si="242"/>
        <v>0</v>
      </c>
      <c r="T601" s="455">
        <f t="shared" si="242"/>
        <v>0</v>
      </c>
      <c r="U601" s="455">
        <f t="shared" si="242"/>
        <v>0</v>
      </c>
      <c r="V601" s="455">
        <f t="shared" si="242"/>
        <v>0</v>
      </c>
      <c r="W601" s="350">
        <f t="shared" si="242"/>
        <v>0</v>
      </c>
      <c r="X601" s="349">
        <f t="shared" si="242"/>
        <v>0</v>
      </c>
      <c r="Y601" s="455">
        <f t="shared" si="242"/>
        <v>0</v>
      </c>
      <c r="Z601" s="455">
        <f t="shared" si="242"/>
        <v>11374.8</v>
      </c>
      <c r="AA601" s="455">
        <f t="shared" si="242"/>
        <v>14305.05</v>
      </c>
      <c r="AB601" s="455">
        <f t="shared" si="242"/>
        <v>0</v>
      </c>
      <c r="AC601" s="455">
        <f t="shared" si="242"/>
        <v>0</v>
      </c>
      <c r="AD601" s="455">
        <f t="shared" si="242"/>
        <v>0</v>
      </c>
      <c r="AE601" s="455">
        <f t="shared" si="242"/>
        <v>0</v>
      </c>
      <c r="AF601" s="350">
        <f t="shared" si="242"/>
        <v>0</v>
      </c>
      <c r="AG601" s="293"/>
      <c r="AH601" s="293"/>
      <c r="AI601" s="293"/>
      <c r="AJ601" s="293"/>
      <c r="AK601" s="293"/>
      <c r="AL601" s="293"/>
      <c r="AM601" s="293"/>
      <c r="AN601" s="293"/>
      <c r="AO601" s="293"/>
      <c r="AP601" s="293"/>
      <c r="AQ601" s="293"/>
      <c r="AR601" s="293"/>
      <c r="AS601" s="293"/>
      <c r="AT601" s="293"/>
      <c r="AU601" s="293"/>
      <c r="AV601" s="293"/>
      <c r="AW601" s="293"/>
      <c r="AX601" s="293"/>
      <c r="AY601" s="293"/>
      <c r="AZ601" s="293"/>
      <c r="BA601" s="293"/>
      <c r="BB601" s="293"/>
      <c r="BC601" s="293"/>
      <c r="BD601" s="293"/>
      <c r="BE601" s="293"/>
      <c r="BF601" s="293"/>
      <c r="BG601" s="293"/>
      <c r="BH601" s="293"/>
      <c r="BI601" s="293"/>
      <c r="BJ601" s="293"/>
      <c r="BK601" s="293"/>
      <c r="BL601" s="293"/>
      <c r="BM601" s="293"/>
      <c r="BN601" s="293"/>
      <c r="BO601" s="293"/>
      <c r="BP601" s="293"/>
      <c r="BQ601" s="293"/>
      <c r="BR601" s="293"/>
      <c r="BS601" s="293"/>
      <c r="BT601" s="293"/>
      <c r="BU601" s="293"/>
      <c r="BV601" s="293"/>
      <c r="BW601" s="293"/>
      <c r="BX601" s="293"/>
      <c r="BY601" s="293"/>
      <c r="BZ601" s="293"/>
      <c r="CA601" s="293"/>
      <c r="CB601" s="293"/>
      <c r="CC601" s="293"/>
      <c r="CD601" s="293"/>
      <c r="CE601" s="293"/>
      <c r="CF601" s="293"/>
      <c r="CG601" s="293"/>
      <c r="CH601" s="293"/>
      <c r="CI601" s="293"/>
      <c r="CJ601" s="293"/>
      <c r="CK601" s="293"/>
      <c r="CL601" s="293"/>
      <c r="CM601" s="293"/>
      <c r="CN601" s="293"/>
      <c r="CO601" s="293"/>
      <c r="CP601" s="293"/>
      <c r="CQ601" s="293"/>
      <c r="CR601" s="293"/>
      <c r="CS601" s="293"/>
      <c r="CT601" s="293"/>
      <c r="CU601" s="293"/>
      <c r="CV601" s="293"/>
      <c r="CW601" s="293"/>
      <c r="CX601" s="293"/>
      <c r="CY601" s="293"/>
    </row>
    <row r="602" spans="1:103" outlineLevel="1" x14ac:dyDescent="0.25">
      <c r="A602" s="352" t="s">
        <v>665</v>
      </c>
      <c r="B602" s="475" t="s">
        <v>495</v>
      </c>
      <c r="C602" s="431">
        <v>28260</v>
      </c>
      <c r="D602" s="119">
        <f>+J602</f>
        <v>26981.1525</v>
      </c>
      <c r="E602" s="110">
        <v>25680</v>
      </c>
      <c r="F602" s="119">
        <f>+L602</f>
        <v>25679.85</v>
      </c>
      <c r="G602" s="294">
        <f t="shared" si="220"/>
        <v>1.0506740693578818</v>
      </c>
      <c r="H602" s="490">
        <f>+F602/C602</f>
        <v>0.90869957537154988</v>
      </c>
      <c r="I602" s="290"/>
      <c r="J602" s="119">
        <f t="shared" si="238"/>
        <v>26981.1525</v>
      </c>
      <c r="K602" s="290"/>
      <c r="L602" s="290">
        <f t="shared" si="231"/>
        <v>25679.85</v>
      </c>
      <c r="M602" s="354">
        <f t="shared" si="239"/>
        <v>1.0506740693578818</v>
      </c>
      <c r="N602" s="353"/>
      <c r="O602" s="431">
        <f>+X602</f>
        <v>0</v>
      </c>
      <c r="P602" s="119"/>
      <c r="Q602" s="119">
        <f>+Z602*0.8</f>
        <v>9099.84</v>
      </c>
      <c r="R602" s="119">
        <f>+AA602*1.25</f>
        <v>17881.3125</v>
      </c>
      <c r="S602" s="119"/>
      <c r="T602" s="119"/>
      <c r="U602" s="119"/>
      <c r="V602" s="119"/>
      <c r="W602" s="356"/>
      <c r="X602" s="290"/>
      <c r="Y602" s="119"/>
      <c r="Z602" s="119">
        <v>11374.8</v>
      </c>
      <c r="AA602" s="119">
        <f>+(77792+17575)*0.15</f>
        <v>14305.05</v>
      </c>
      <c r="AB602" s="119"/>
      <c r="AC602" s="119"/>
      <c r="AD602" s="119"/>
      <c r="AE602" s="355"/>
      <c r="AF602" s="356"/>
    </row>
    <row r="603" spans="1:103" s="344" customFormat="1" ht="21" x14ac:dyDescent="0.35">
      <c r="A603" s="513" t="s">
        <v>456</v>
      </c>
      <c r="B603" s="473" t="s">
        <v>437</v>
      </c>
      <c r="C603" s="429">
        <f>+C605+C610+C614+C617+C622</f>
        <v>17487.86</v>
      </c>
      <c r="D603" s="339">
        <f>+D605+D610+D614+D617+D622</f>
        <v>19350</v>
      </c>
      <c r="E603" s="501">
        <f>+E605+E610+E614+E617+E622</f>
        <v>45526.700000000004</v>
      </c>
      <c r="F603" s="339">
        <f>+F605+F610+F614+F617+F622</f>
        <v>43022</v>
      </c>
      <c r="G603" s="340">
        <f t="shared" si="220"/>
        <v>0.44976988517502675</v>
      </c>
      <c r="H603" s="488">
        <f>+F603/C603</f>
        <v>2.4601066111005006</v>
      </c>
      <c r="I603" s="288">
        <v>13400</v>
      </c>
      <c r="J603" s="339">
        <f t="shared" si="238"/>
        <v>19350</v>
      </c>
      <c r="K603" s="288">
        <v>39730.36</v>
      </c>
      <c r="L603" s="288">
        <f t="shared" si="231"/>
        <v>43022</v>
      </c>
      <c r="M603" s="342">
        <f t="shared" si="239"/>
        <v>0.44976988517502675</v>
      </c>
      <c r="N603" s="341">
        <f>+L603/I603</f>
        <v>3.2105970149253733</v>
      </c>
      <c r="O603" s="429">
        <f t="shared" ref="O603:AE603" si="243">O605+O610+O614+O617+O622</f>
        <v>950</v>
      </c>
      <c r="P603" s="339">
        <f t="shared" si="243"/>
        <v>18400</v>
      </c>
      <c r="Q603" s="339">
        <f t="shared" si="243"/>
        <v>0</v>
      </c>
      <c r="R603" s="339">
        <f t="shared" si="243"/>
        <v>0</v>
      </c>
      <c r="S603" s="339">
        <f t="shared" si="243"/>
        <v>0</v>
      </c>
      <c r="T603" s="339">
        <f t="shared" si="243"/>
        <v>0</v>
      </c>
      <c r="U603" s="339">
        <f t="shared" si="243"/>
        <v>0</v>
      </c>
      <c r="V603" s="339">
        <f t="shared" si="243"/>
        <v>0</v>
      </c>
      <c r="W603" s="461">
        <f t="shared" si="243"/>
        <v>0</v>
      </c>
      <c r="X603" s="288">
        <f t="shared" si="243"/>
        <v>950</v>
      </c>
      <c r="Y603" s="288">
        <f t="shared" si="243"/>
        <v>13672</v>
      </c>
      <c r="Z603" s="288">
        <f t="shared" si="243"/>
        <v>24400</v>
      </c>
      <c r="AA603" s="288">
        <f t="shared" si="243"/>
        <v>0</v>
      </c>
      <c r="AB603" s="288">
        <f t="shared" si="243"/>
        <v>0</v>
      </c>
      <c r="AC603" s="288">
        <f t="shared" si="243"/>
        <v>4000</v>
      </c>
      <c r="AD603" s="288">
        <f t="shared" si="243"/>
        <v>0</v>
      </c>
      <c r="AE603" s="288">
        <f t="shared" si="243"/>
        <v>0</v>
      </c>
      <c r="AF603" s="289">
        <f>AF605+AF610+AF614+AF617+AF622</f>
        <v>0</v>
      </c>
      <c r="AG603" s="343"/>
      <c r="AH603" s="343"/>
      <c r="AI603" s="343"/>
      <c r="AJ603" s="343"/>
      <c r="AK603" s="343"/>
      <c r="AL603" s="343"/>
      <c r="AM603" s="343"/>
      <c r="AN603" s="343"/>
      <c r="AO603" s="343"/>
      <c r="AP603" s="343"/>
      <c r="AQ603" s="343"/>
      <c r="AR603" s="343"/>
      <c r="AS603" s="343"/>
      <c r="AT603" s="343"/>
      <c r="AU603" s="343"/>
      <c r="AV603" s="343"/>
      <c r="AW603" s="343"/>
      <c r="AX603" s="343"/>
      <c r="AY603" s="343"/>
      <c r="AZ603" s="343"/>
      <c r="BA603" s="343"/>
      <c r="BB603" s="343"/>
      <c r="BC603" s="343"/>
      <c r="BD603" s="343"/>
      <c r="BE603" s="343"/>
      <c r="BF603" s="343"/>
      <c r="BG603" s="343"/>
      <c r="BH603" s="343"/>
      <c r="BI603" s="343"/>
      <c r="BJ603" s="343"/>
      <c r="BK603" s="343"/>
      <c r="BL603" s="343"/>
      <c r="BM603" s="343"/>
      <c r="BN603" s="343"/>
      <c r="BO603" s="343"/>
      <c r="BP603" s="343"/>
      <c r="BQ603" s="343"/>
      <c r="BR603" s="343"/>
      <c r="BS603" s="343"/>
      <c r="BT603" s="343"/>
      <c r="BU603" s="343"/>
      <c r="BV603" s="343"/>
      <c r="BW603" s="343"/>
      <c r="BX603" s="343"/>
      <c r="BY603" s="343"/>
      <c r="BZ603" s="343"/>
      <c r="CA603" s="343"/>
      <c r="CB603" s="343"/>
      <c r="CC603" s="343"/>
      <c r="CD603" s="343"/>
      <c r="CE603" s="343"/>
      <c r="CF603" s="343"/>
      <c r="CG603" s="343"/>
      <c r="CH603" s="343"/>
      <c r="CI603" s="343"/>
      <c r="CJ603" s="343"/>
      <c r="CK603" s="343"/>
      <c r="CL603" s="343"/>
      <c r="CM603" s="343"/>
      <c r="CN603" s="343"/>
      <c r="CO603" s="343"/>
      <c r="CP603" s="343"/>
      <c r="CQ603" s="343"/>
      <c r="CR603" s="343"/>
      <c r="CS603" s="343"/>
      <c r="CT603" s="343"/>
      <c r="CU603" s="343"/>
      <c r="CV603" s="343"/>
      <c r="CW603" s="343"/>
      <c r="CX603" s="343"/>
      <c r="CY603" s="343"/>
    </row>
    <row r="604" spans="1:103" s="344" customFormat="1" ht="21" x14ac:dyDescent="0.35">
      <c r="A604" s="394"/>
      <c r="B604" s="479" t="s">
        <v>1343</v>
      </c>
      <c r="C604" s="433"/>
      <c r="D604" s="383"/>
      <c r="E604" s="502"/>
      <c r="F604" s="383"/>
      <c r="G604" s="384"/>
      <c r="H604" s="492"/>
      <c r="I604" s="386">
        <v>-4088</v>
      </c>
      <c r="J604" s="383">
        <v>7004</v>
      </c>
      <c r="K604" s="386"/>
      <c r="L604" s="386">
        <f>+J604</f>
        <v>7004</v>
      </c>
      <c r="M604" s="395"/>
      <c r="N604" s="417"/>
      <c r="O604" s="434">
        <f>+X604</f>
        <v>0</v>
      </c>
      <c r="P604" s="415"/>
      <c r="Q604" s="415"/>
      <c r="R604" s="415"/>
      <c r="S604" s="415"/>
      <c r="T604" s="415"/>
      <c r="U604" s="415"/>
      <c r="V604" s="415"/>
      <c r="W604" s="521"/>
      <c r="X604" s="396"/>
      <c r="Y604" s="396"/>
      <c r="Z604" s="396"/>
      <c r="AA604" s="396"/>
      <c r="AB604" s="396"/>
      <c r="AC604" s="396"/>
      <c r="AD604" s="396"/>
      <c r="AE604" s="396"/>
      <c r="AF604" s="397"/>
      <c r="AG604" s="343"/>
      <c r="AH604" s="343"/>
      <c r="AI604" s="343"/>
      <c r="AJ604" s="343"/>
      <c r="AK604" s="343"/>
      <c r="AL604" s="343"/>
      <c r="AM604" s="343"/>
      <c r="AN604" s="343"/>
      <c r="AO604" s="343"/>
      <c r="AP604" s="343"/>
      <c r="AQ604" s="343"/>
      <c r="AR604" s="343"/>
      <c r="AS604" s="343"/>
      <c r="AT604" s="343"/>
      <c r="AU604" s="343"/>
      <c r="AV604" s="343"/>
      <c r="AW604" s="343"/>
      <c r="AX604" s="343"/>
      <c r="AY604" s="343"/>
      <c r="AZ604" s="343"/>
      <c r="BA604" s="343"/>
      <c r="BB604" s="343"/>
      <c r="BC604" s="343"/>
      <c r="BD604" s="343"/>
      <c r="BE604" s="343"/>
      <c r="BF604" s="343"/>
      <c r="BG604" s="343"/>
      <c r="BH604" s="343"/>
      <c r="BI604" s="343"/>
      <c r="BJ604" s="343"/>
      <c r="BK604" s="343"/>
      <c r="BL604" s="343"/>
      <c r="BM604" s="343"/>
      <c r="BN604" s="343"/>
      <c r="BO604" s="343"/>
      <c r="BP604" s="343"/>
      <c r="BQ604" s="343"/>
      <c r="BR604" s="343"/>
      <c r="BS604" s="343"/>
      <c r="BT604" s="343"/>
      <c r="BU604" s="343"/>
      <c r="BV604" s="343"/>
      <c r="BW604" s="343"/>
      <c r="BX604" s="343"/>
      <c r="BY604" s="343"/>
      <c r="BZ604" s="343"/>
      <c r="CA604" s="343"/>
      <c r="CB604" s="343"/>
      <c r="CC604" s="343"/>
      <c r="CD604" s="343"/>
      <c r="CE604" s="343"/>
      <c r="CF604" s="343"/>
      <c r="CG604" s="343"/>
      <c r="CH604" s="343"/>
      <c r="CI604" s="343"/>
      <c r="CJ604" s="343"/>
      <c r="CK604" s="343"/>
      <c r="CL604" s="343"/>
      <c r="CM604" s="343"/>
      <c r="CN604" s="343"/>
      <c r="CO604" s="343"/>
      <c r="CP604" s="343"/>
      <c r="CQ604" s="343"/>
      <c r="CR604" s="343"/>
      <c r="CS604" s="343"/>
      <c r="CT604" s="343"/>
      <c r="CU604" s="343"/>
      <c r="CV604" s="343"/>
      <c r="CW604" s="343"/>
      <c r="CX604" s="343"/>
      <c r="CY604" s="343"/>
    </row>
    <row r="605" spans="1:103" s="351" customFormat="1" ht="15.75" x14ac:dyDescent="0.25">
      <c r="A605" s="345" t="s">
        <v>458</v>
      </c>
      <c r="B605" s="474" t="s">
        <v>265</v>
      </c>
      <c r="C605" s="430">
        <f>+C606+C607+C608+C609</f>
        <v>1056.6099999999999</v>
      </c>
      <c r="D605" s="455">
        <f>+D606+D607+D608+D609</f>
        <v>1650</v>
      </c>
      <c r="E605" s="274">
        <f>+E606+E607+E608+E609</f>
        <v>1490.11</v>
      </c>
      <c r="F605" s="455">
        <f>+F606+F607+F608+F609</f>
        <v>1622</v>
      </c>
      <c r="G605" s="292">
        <f t="shared" si="220"/>
        <v>1.0172626387176325</v>
      </c>
      <c r="H605" s="489">
        <f>+F605/C605</f>
        <v>1.5350980967433587</v>
      </c>
      <c r="I605" s="349"/>
      <c r="J605" s="347">
        <f>+J606+J607+J608+J609</f>
        <v>1650</v>
      </c>
      <c r="K605" s="291"/>
      <c r="L605" s="291">
        <f t="shared" si="231"/>
        <v>1622</v>
      </c>
      <c r="M605" s="348">
        <f t="shared" ref="M605:M613" si="244">+J605/L605</f>
        <v>1.0172626387176325</v>
      </c>
      <c r="N605" s="392"/>
      <c r="O605" s="430">
        <f>+O606+O607+O608+O609</f>
        <v>750</v>
      </c>
      <c r="P605" s="455">
        <f>SUM(P606:P609)</f>
        <v>900</v>
      </c>
      <c r="Q605" s="455">
        <f>SUM(Q606:Q609)</f>
        <v>0</v>
      </c>
      <c r="R605" s="455">
        <f>SUM(R606:R609)</f>
        <v>0</v>
      </c>
      <c r="S605" s="455">
        <f>SUM(S606:S609)</f>
        <v>0</v>
      </c>
      <c r="T605" s="455">
        <f t="shared" ref="T605:AA605" si="245">SUM(T606:T609)</f>
        <v>0</v>
      </c>
      <c r="U605" s="455">
        <f t="shared" si="245"/>
        <v>0</v>
      </c>
      <c r="V605" s="455">
        <f t="shared" si="245"/>
        <v>0</v>
      </c>
      <c r="W605" s="350">
        <f t="shared" si="245"/>
        <v>0</v>
      </c>
      <c r="X605" s="349">
        <f t="shared" si="245"/>
        <v>750</v>
      </c>
      <c r="Y605" s="455">
        <f t="shared" si="245"/>
        <v>872</v>
      </c>
      <c r="Z605" s="455">
        <f t="shared" si="245"/>
        <v>0</v>
      </c>
      <c r="AA605" s="455">
        <f t="shared" si="245"/>
        <v>0</v>
      </c>
      <c r="AB605" s="455">
        <f>SUM(AB606:AB609)</f>
        <v>0</v>
      </c>
      <c r="AC605" s="455">
        <f>SUM(AC606:AC609)</f>
        <v>0</v>
      </c>
      <c r="AD605" s="455">
        <f>SUM(AD606:AD609)</f>
        <v>0</v>
      </c>
      <c r="AE605" s="455">
        <f>SUM(AE606:AE609)</f>
        <v>0</v>
      </c>
      <c r="AF605" s="350">
        <f>SUM(AF606:AF609)</f>
        <v>0</v>
      </c>
      <c r="AG605" s="293"/>
      <c r="AH605" s="293"/>
      <c r="AI605" s="293"/>
      <c r="AJ605" s="293"/>
      <c r="AK605" s="293"/>
      <c r="AL605" s="293"/>
      <c r="AM605" s="293"/>
      <c r="AN605" s="293"/>
      <c r="AO605" s="293"/>
      <c r="AP605" s="293"/>
      <c r="AQ605" s="293"/>
      <c r="AR605" s="293"/>
      <c r="AS605" s="293"/>
      <c r="AT605" s="293"/>
      <c r="AU605" s="293"/>
      <c r="AV605" s="293"/>
      <c r="AW605" s="293"/>
      <c r="AX605" s="293"/>
      <c r="AY605" s="293"/>
      <c r="AZ605" s="293"/>
      <c r="BA605" s="293"/>
      <c r="BB605" s="293"/>
      <c r="BC605" s="293"/>
      <c r="BD605" s="293"/>
      <c r="BE605" s="293"/>
      <c r="BF605" s="293"/>
      <c r="BG605" s="293"/>
      <c r="BH605" s="293"/>
      <c r="BI605" s="293"/>
      <c r="BJ605" s="293"/>
      <c r="BK605" s="293"/>
      <c r="BL605" s="293"/>
      <c r="BM605" s="293"/>
      <c r="BN605" s="293"/>
      <c r="BO605" s="293"/>
      <c r="BP605" s="293"/>
      <c r="BQ605" s="293"/>
      <c r="BR605" s="293"/>
      <c r="BS605" s="293"/>
      <c r="BT605" s="293"/>
      <c r="BU605" s="293"/>
      <c r="BV605" s="293"/>
      <c r="BW605" s="293"/>
      <c r="BX605" s="293"/>
      <c r="BY605" s="293"/>
      <c r="BZ605" s="293"/>
      <c r="CA605" s="293"/>
      <c r="CB605" s="293"/>
      <c r="CC605" s="293"/>
      <c r="CD605" s="293"/>
      <c r="CE605" s="293"/>
      <c r="CF605" s="293"/>
      <c r="CG605" s="293"/>
      <c r="CH605" s="293"/>
      <c r="CI605" s="293"/>
      <c r="CJ605" s="293"/>
      <c r="CK605" s="293"/>
      <c r="CL605" s="293"/>
      <c r="CM605" s="293"/>
      <c r="CN605" s="293"/>
      <c r="CO605" s="293"/>
      <c r="CP605" s="293"/>
      <c r="CQ605" s="293"/>
      <c r="CR605" s="293"/>
      <c r="CS605" s="293"/>
      <c r="CT605" s="293"/>
      <c r="CU605" s="293"/>
      <c r="CV605" s="293"/>
      <c r="CW605" s="293"/>
      <c r="CX605" s="293"/>
      <c r="CY605" s="293"/>
    </row>
    <row r="606" spans="1:103" outlineLevel="1" x14ac:dyDescent="0.25">
      <c r="A606" s="358" t="s">
        <v>459</v>
      </c>
      <c r="B606" s="475" t="s">
        <v>281</v>
      </c>
      <c r="C606" s="431"/>
      <c r="D606" s="119">
        <f>+J606</f>
        <v>350</v>
      </c>
      <c r="E606" s="110">
        <v>349.6</v>
      </c>
      <c r="F606" s="119">
        <f>+L606</f>
        <v>350</v>
      </c>
      <c r="G606" s="294">
        <f t="shared" si="220"/>
        <v>1</v>
      </c>
      <c r="H606" s="490"/>
      <c r="I606" s="290"/>
      <c r="J606" s="119">
        <f t="shared" si="238"/>
        <v>350</v>
      </c>
      <c r="K606" s="290"/>
      <c r="L606" s="290">
        <f t="shared" si="231"/>
        <v>350</v>
      </c>
      <c r="M606" s="354">
        <f t="shared" si="244"/>
        <v>1</v>
      </c>
      <c r="N606" s="353"/>
      <c r="O606" s="431">
        <f>+X606</f>
        <v>200</v>
      </c>
      <c r="P606" s="119">
        <v>150</v>
      </c>
      <c r="Q606" s="119"/>
      <c r="R606" s="119"/>
      <c r="S606" s="119"/>
      <c r="T606" s="119"/>
      <c r="U606" s="119"/>
      <c r="V606" s="119"/>
      <c r="W606" s="356"/>
      <c r="X606" s="290">
        <v>200</v>
      </c>
      <c r="Y606" s="119">
        <v>150</v>
      </c>
      <c r="Z606" s="119"/>
      <c r="AA606" s="119"/>
      <c r="AB606" s="119"/>
      <c r="AC606" s="119"/>
      <c r="AD606" s="119"/>
      <c r="AE606" s="355"/>
      <c r="AF606" s="356"/>
    </row>
    <row r="607" spans="1:103" outlineLevel="1" x14ac:dyDescent="0.25">
      <c r="A607" s="352" t="s">
        <v>460</v>
      </c>
      <c r="B607" s="475" t="s">
        <v>309</v>
      </c>
      <c r="C607" s="431">
        <v>524.88</v>
      </c>
      <c r="D607" s="119">
        <f>+J607</f>
        <v>800</v>
      </c>
      <c r="E607" s="110">
        <v>787.68</v>
      </c>
      <c r="F607" s="119">
        <f>+L607</f>
        <v>800</v>
      </c>
      <c r="G607" s="294">
        <f t="shared" si="220"/>
        <v>1</v>
      </c>
      <c r="H607" s="490">
        <f>+F607/C607</f>
        <v>1.5241579027587258</v>
      </c>
      <c r="I607" s="290"/>
      <c r="J607" s="119">
        <f t="shared" si="238"/>
        <v>800</v>
      </c>
      <c r="K607" s="290"/>
      <c r="L607" s="290">
        <f t="shared" si="231"/>
        <v>800</v>
      </c>
      <c r="M607" s="354">
        <f t="shared" si="244"/>
        <v>1</v>
      </c>
      <c r="N607" s="353"/>
      <c r="O607" s="431">
        <f>+X607</f>
        <v>400</v>
      </c>
      <c r="P607" s="119">
        <v>400</v>
      </c>
      <c r="Q607" s="119"/>
      <c r="R607" s="119"/>
      <c r="S607" s="119"/>
      <c r="T607" s="119"/>
      <c r="U607" s="119"/>
      <c r="V607" s="119"/>
      <c r="W607" s="356"/>
      <c r="X607" s="290">
        <v>400</v>
      </c>
      <c r="Y607" s="119">
        <v>400</v>
      </c>
      <c r="Z607" s="119"/>
      <c r="AA607" s="119"/>
      <c r="AB607" s="119"/>
      <c r="AC607" s="119"/>
      <c r="AD607" s="119"/>
      <c r="AE607" s="355"/>
      <c r="AF607" s="356"/>
    </row>
    <row r="608" spans="1:103" outlineLevel="1" x14ac:dyDescent="0.25">
      <c r="A608" s="352" t="s">
        <v>461</v>
      </c>
      <c r="B608" s="475" t="s">
        <v>285</v>
      </c>
      <c r="C608" s="431">
        <v>190.44</v>
      </c>
      <c r="D608" s="119">
        <f>+J608</f>
        <v>150</v>
      </c>
      <c r="E608" s="110"/>
      <c r="F608" s="119">
        <f>+L608</f>
        <v>150</v>
      </c>
      <c r="G608" s="294">
        <f t="shared" si="220"/>
        <v>1</v>
      </c>
      <c r="H608" s="490">
        <f>+F608/C608</f>
        <v>0.7876496534341525</v>
      </c>
      <c r="I608" s="290"/>
      <c r="J608" s="119">
        <f t="shared" si="238"/>
        <v>150</v>
      </c>
      <c r="K608" s="290"/>
      <c r="L608" s="290">
        <f t="shared" si="231"/>
        <v>150</v>
      </c>
      <c r="M608" s="354">
        <f t="shared" si="244"/>
        <v>1</v>
      </c>
      <c r="N608" s="353"/>
      <c r="O608" s="431">
        <f>+X608</f>
        <v>150</v>
      </c>
      <c r="P608" s="119"/>
      <c r="Q608" s="119"/>
      <c r="R608" s="119"/>
      <c r="S608" s="119"/>
      <c r="T608" s="119"/>
      <c r="U608" s="119"/>
      <c r="V608" s="119"/>
      <c r="W608" s="356"/>
      <c r="X608" s="290">
        <v>150</v>
      </c>
      <c r="Y608" s="119"/>
      <c r="Z608" s="119"/>
      <c r="AA608" s="119"/>
      <c r="AB608" s="119"/>
      <c r="AC608" s="119"/>
      <c r="AD608" s="119"/>
      <c r="AE608" s="355"/>
      <c r="AF608" s="356"/>
    </row>
    <row r="609" spans="1:103" outlineLevel="1" x14ac:dyDescent="0.25">
      <c r="A609" s="352" t="s">
        <v>1144</v>
      </c>
      <c r="B609" s="475" t="s">
        <v>47</v>
      </c>
      <c r="C609" s="431">
        <v>341.29</v>
      </c>
      <c r="D609" s="119">
        <f>+J609</f>
        <v>350</v>
      </c>
      <c r="E609" s="110">
        <v>352.83</v>
      </c>
      <c r="F609" s="119">
        <f>+L609</f>
        <v>322</v>
      </c>
      <c r="G609" s="294">
        <f t="shared" si="220"/>
        <v>1.0869565217391304</v>
      </c>
      <c r="H609" s="490">
        <f>+F609/C609</f>
        <v>0.94347915262679827</v>
      </c>
      <c r="I609" s="290"/>
      <c r="J609" s="119">
        <f t="shared" si="238"/>
        <v>350</v>
      </c>
      <c r="K609" s="290"/>
      <c r="L609" s="290">
        <f t="shared" si="231"/>
        <v>322</v>
      </c>
      <c r="M609" s="354">
        <f t="shared" si="244"/>
        <v>1.0869565217391304</v>
      </c>
      <c r="N609" s="353"/>
      <c r="O609" s="431"/>
      <c r="P609" s="119">
        <v>350</v>
      </c>
      <c r="Q609" s="119"/>
      <c r="R609" s="119"/>
      <c r="S609" s="119"/>
      <c r="T609" s="119"/>
      <c r="U609" s="119"/>
      <c r="V609" s="119"/>
      <c r="W609" s="356"/>
      <c r="X609" s="290"/>
      <c r="Y609" s="119">
        <v>322</v>
      </c>
      <c r="Z609" s="119"/>
      <c r="AA609" s="119"/>
      <c r="AB609" s="119"/>
      <c r="AC609" s="119"/>
      <c r="AD609" s="119"/>
      <c r="AE609" s="355"/>
      <c r="AF609" s="356"/>
    </row>
    <row r="610" spans="1:103" s="351" customFormat="1" ht="15.75" x14ac:dyDescent="0.25">
      <c r="A610" s="345" t="s">
        <v>463</v>
      </c>
      <c r="B610" s="474" t="s">
        <v>248</v>
      </c>
      <c r="C610" s="430">
        <f>+C611+C612+C613</f>
        <v>9022.0399999999991</v>
      </c>
      <c r="D610" s="455">
        <f>+D611+D612+D613</f>
        <v>9500</v>
      </c>
      <c r="E610" s="274">
        <f>+E611+E612+E613</f>
        <v>12032.38</v>
      </c>
      <c r="F610" s="455">
        <f>+F611+F612+F613</f>
        <v>10500</v>
      </c>
      <c r="G610" s="292">
        <f t="shared" si="220"/>
        <v>0.90476190476190477</v>
      </c>
      <c r="H610" s="489">
        <f>+F610/C610</f>
        <v>1.1638166091039279</v>
      </c>
      <c r="I610" s="349"/>
      <c r="J610" s="347">
        <f>+J611+J612+J613</f>
        <v>9500</v>
      </c>
      <c r="K610" s="291"/>
      <c r="L610" s="291">
        <f t="shared" si="231"/>
        <v>10500</v>
      </c>
      <c r="M610" s="348">
        <f t="shared" si="244"/>
        <v>0.90476190476190477</v>
      </c>
      <c r="N610" s="392"/>
      <c r="O610" s="430">
        <f>+O611+O612+O613</f>
        <v>0</v>
      </c>
      <c r="P610" s="455">
        <f t="shared" ref="P610:AF610" si="246">SUM(P611:P613)</f>
        <v>9500</v>
      </c>
      <c r="Q610" s="455">
        <f t="shared" si="246"/>
        <v>0</v>
      </c>
      <c r="R610" s="455">
        <f t="shared" si="246"/>
        <v>0</v>
      </c>
      <c r="S610" s="455">
        <f t="shared" si="246"/>
        <v>0</v>
      </c>
      <c r="T610" s="455">
        <f t="shared" si="246"/>
        <v>0</v>
      </c>
      <c r="U610" s="455">
        <f t="shared" si="246"/>
        <v>0</v>
      </c>
      <c r="V610" s="455">
        <f t="shared" si="246"/>
        <v>0</v>
      </c>
      <c r="W610" s="350">
        <f t="shared" si="246"/>
        <v>0</v>
      </c>
      <c r="X610" s="349">
        <f t="shared" si="246"/>
        <v>0</v>
      </c>
      <c r="Y610" s="455">
        <f t="shared" si="246"/>
        <v>10500</v>
      </c>
      <c r="Z610" s="455">
        <f t="shared" si="246"/>
        <v>0</v>
      </c>
      <c r="AA610" s="455">
        <f t="shared" si="246"/>
        <v>0</v>
      </c>
      <c r="AB610" s="455">
        <f t="shared" si="246"/>
        <v>0</v>
      </c>
      <c r="AC610" s="455">
        <f t="shared" si="246"/>
        <v>0</v>
      </c>
      <c r="AD610" s="455">
        <f t="shared" si="246"/>
        <v>0</v>
      </c>
      <c r="AE610" s="455">
        <f t="shared" si="246"/>
        <v>0</v>
      </c>
      <c r="AF610" s="350">
        <f t="shared" si="246"/>
        <v>0</v>
      </c>
      <c r="AG610" s="293"/>
      <c r="AH610" s="293"/>
      <c r="AI610" s="293"/>
      <c r="AJ610" s="293"/>
      <c r="AK610" s="293"/>
      <c r="AL610" s="293"/>
      <c r="AM610" s="293"/>
      <c r="AN610" s="293"/>
      <c r="AO610" s="293"/>
      <c r="AP610" s="293"/>
      <c r="AQ610" s="293"/>
      <c r="AR610" s="293"/>
      <c r="AS610" s="293"/>
      <c r="AT610" s="293"/>
      <c r="AU610" s="293"/>
      <c r="AV610" s="293"/>
      <c r="AW610" s="293"/>
      <c r="AX610" s="293"/>
      <c r="AY610" s="293"/>
      <c r="AZ610" s="293"/>
      <c r="BA610" s="293"/>
      <c r="BB610" s="293"/>
      <c r="BC610" s="293"/>
      <c r="BD610" s="293"/>
      <c r="BE610" s="293"/>
      <c r="BF610" s="293"/>
      <c r="BG610" s="293"/>
      <c r="BH610" s="293"/>
      <c r="BI610" s="293"/>
      <c r="BJ610" s="293"/>
      <c r="BK610" s="293"/>
      <c r="BL610" s="293"/>
      <c r="BM610" s="293"/>
      <c r="BN610" s="293"/>
      <c r="BO610" s="293"/>
      <c r="BP610" s="293"/>
      <c r="BQ610" s="293"/>
      <c r="BR610" s="293"/>
      <c r="BS610" s="293"/>
      <c r="BT610" s="293"/>
      <c r="BU610" s="293"/>
      <c r="BV610" s="293"/>
      <c r="BW610" s="293"/>
      <c r="BX610" s="293"/>
      <c r="BY610" s="293"/>
      <c r="BZ610" s="293"/>
      <c r="CA610" s="293"/>
      <c r="CB610" s="293"/>
      <c r="CC610" s="293"/>
      <c r="CD610" s="293"/>
      <c r="CE610" s="293"/>
      <c r="CF610" s="293"/>
      <c r="CG610" s="293"/>
      <c r="CH610" s="293"/>
      <c r="CI610" s="293"/>
      <c r="CJ610" s="293"/>
      <c r="CK610" s="293"/>
      <c r="CL610" s="293"/>
      <c r="CM610" s="293"/>
      <c r="CN610" s="293"/>
      <c r="CO610" s="293"/>
      <c r="CP610" s="293"/>
      <c r="CQ610" s="293"/>
      <c r="CR610" s="293"/>
      <c r="CS610" s="293"/>
      <c r="CT610" s="293"/>
      <c r="CU610" s="293"/>
      <c r="CV610" s="293"/>
      <c r="CW610" s="293"/>
      <c r="CX610" s="293"/>
      <c r="CY610" s="293"/>
    </row>
    <row r="611" spans="1:103" outlineLevel="1" x14ac:dyDescent="0.25">
      <c r="A611" s="352" t="s">
        <v>464</v>
      </c>
      <c r="B611" s="475" t="s">
        <v>955</v>
      </c>
      <c r="C611" s="431">
        <v>8472.91</v>
      </c>
      <c r="D611" s="119">
        <f>+J611</f>
        <v>9000</v>
      </c>
      <c r="E611" s="110">
        <v>9216.0499999999993</v>
      </c>
      <c r="F611" s="119">
        <f>+L611</f>
        <v>7500</v>
      </c>
      <c r="G611" s="294">
        <f t="shared" si="220"/>
        <v>1.2</v>
      </c>
      <c r="H611" s="490">
        <f>+F611/C611</f>
        <v>0.88517404292031898</v>
      </c>
      <c r="I611" s="290"/>
      <c r="J611" s="119">
        <f t="shared" si="238"/>
        <v>9000</v>
      </c>
      <c r="K611" s="290"/>
      <c r="L611" s="290">
        <f t="shared" si="231"/>
        <v>7500</v>
      </c>
      <c r="M611" s="354">
        <f t="shared" si="244"/>
        <v>1.2</v>
      </c>
      <c r="N611" s="353"/>
      <c r="O611" s="431"/>
      <c r="P611" s="119">
        <v>9000</v>
      </c>
      <c r="Q611" s="119"/>
      <c r="R611" s="119"/>
      <c r="S611" s="119"/>
      <c r="T611" s="119"/>
      <c r="U611" s="119"/>
      <c r="V611" s="119"/>
      <c r="W611" s="356"/>
      <c r="X611" s="290"/>
      <c r="Y611" s="119">
        <f>300*25</f>
        <v>7500</v>
      </c>
      <c r="Z611" s="119"/>
      <c r="AA611" s="119"/>
      <c r="AB611" s="119"/>
      <c r="AC611" s="119"/>
      <c r="AD611" s="119"/>
      <c r="AE611" s="355"/>
      <c r="AF611" s="356"/>
    </row>
    <row r="612" spans="1:103" outlineLevel="1" x14ac:dyDescent="0.25">
      <c r="A612" s="352" t="s">
        <v>465</v>
      </c>
      <c r="B612" s="475" t="s">
        <v>956</v>
      </c>
      <c r="C612" s="431"/>
      <c r="D612" s="119">
        <f>+J612</f>
        <v>0</v>
      </c>
      <c r="E612" s="110">
        <v>2816.33</v>
      </c>
      <c r="F612" s="119">
        <f>+L612</f>
        <v>2500</v>
      </c>
      <c r="G612" s="294">
        <f t="shared" si="220"/>
        <v>0</v>
      </c>
      <c r="H612" s="490"/>
      <c r="I612" s="290"/>
      <c r="J612" s="119">
        <f t="shared" si="238"/>
        <v>0</v>
      </c>
      <c r="K612" s="290"/>
      <c r="L612" s="290">
        <f t="shared" si="231"/>
        <v>2500</v>
      </c>
      <c r="M612" s="354">
        <f t="shared" si="244"/>
        <v>0</v>
      </c>
      <c r="N612" s="353"/>
      <c r="O612" s="431"/>
      <c r="P612" s="119"/>
      <c r="Q612" s="119"/>
      <c r="R612" s="119"/>
      <c r="S612" s="119"/>
      <c r="T612" s="119"/>
      <c r="U612" s="119"/>
      <c r="V612" s="119"/>
      <c r="W612" s="356"/>
      <c r="X612" s="290"/>
      <c r="Y612" s="119">
        <v>2500</v>
      </c>
      <c r="Z612" s="119"/>
      <c r="AA612" s="119"/>
      <c r="AB612" s="119"/>
      <c r="AC612" s="119"/>
      <c r="AD612" s="119"/>
      <c r="AE612" s="355"/>
      <c r="AF612" s="356"/>
    </row>
    <row r="613" spans="1:103" outlineLevel="1" x14ac:dyDescent="0.25">
      <c r="A613" s="352" t="s">
        <v>1145</v>
      </c>
      <c r="B613" s="475" t="s">
        <v>47</v>
      </c>
      <c r="C613" s="431">
        <v>549.13</v>
      </c>
      <c r="D613" s="119">
        <v>500</v>
      </c>
      <c r="E613" s="110"/>
      <c r="F613" s="119">
        <f>+L613</f>
        <v>500</v>
      </c>
      <c r="G613" s="294">
        <f t="shared" si="220"/>
        <v>1</v>
      </c>
      <c r="H613" s="490">
        <f>+F613/C613</f>
        <v>0.91053120390435782</v>
      </c>
      <c r="I613" s="290"/>
      <c r="J613" s="119">
        <f t="shared" si="238"/>
        <v>500</v>
      </c>
      <c r="K613" s="290"/>
      <c r="L613" s="290">
        <f t="shared" si="231"/>
        <v>500</v>
      </c>
      <c r="M613" s="354">
        <f t="shared" si="244"/>
        <v>1</v>
      </c>
      <c r="N613" s="353"/>
      <c r="O613" s="431"/>
      <c r="P613" s="119">
        <v>500</v>
      </c>
      <c r="Q613" s="119"/>
      <c r="R613" s="119"/>
      <c r="S613" s="119"/>
      <c r="T613" s="119"/>
      <c r="U613" s="119"/>
      <c r="V613" s="119"/>
      <c r="W613" s="356"/>
      <c r="X613" s="290"/>
      <c r="Y613" s="119">
        <v>500</v>
      </c>
      <c r="Z613" s="119"/>
      <c r="AA613" s="119"/>
      <c r="AB613" s="119"/>
      <c r="AC613" s="119"/>
      <c r="AD613" s="119"/>
      <c r="AE613" s="355"/>
      <c r="AF613" s="356"/>
    </row>
    <row r="614" spans="1:103" s="351" customFormat="1" ht="15.75" x14ac:dyDescent="0.25">
      <c r="A614" s="345" t="s">
        <v>467</v>
      </c>
      <c r="B614" s="474" t="s">
        <v>814</v>
      </c>
      <c r="C614" s="430">
        <f>+C615+C616</f>
        <v>1071.1199999999999</v>
      </c>
      <c r="D614" s="455">
        <f>+D615+D616</f>
        <v>2000</v>
      </c>
      <c r="E614" s="274">
        <f>+E615+E616</f>
        <v>0</v>
      </c>
      <c r="F614" s="455">
        <f>+F615+F616</f>
        <v>0</v>
      </c>
      <c r="G614" s="292"/>
      <c r="H614" s="489">
        <f>+F614/C614</f>
        <v>0</v>
      </c>
      <c r="I614" s="349"/>
      <c r="J614" s="347">
        <f>+J615+J616</f>
        <v>2000</v>
      </c>
      <c r="K614" s="291"/>
      <c r="L614" s="291">
        <f t="shared" si="231"/>
        <v>0</v>
      </c>
      <c r="M614" s="348"/>
      <c r="N614" s="392"/>
      <c r="O614" s="430">
        <f>+O615+O616</f>
        <v>0</v>
      </c>
      <c r="P614" s="455">
        <f t="shared" ref="P614:AF614" si="247">SUM(P615:P616)</f>
        <v>2000</v>
      </c>
      <c r="Q614" s="455">
        <f t="shared" si="247"/>
        <v>0</v>
      </c>
      <c r="R614" s="455">
        <f t="shared" si="247"/>
        <v>0</v>
      </c>
      <c r="S614" s="455">
        <f t="shared" si="247"/>
        <v>0</v>
      </c>
      <c r="T614" s="455">
        <f t="shared" si="247"/>
        <v>0</v>
      </c>
      <c r="U614" s="455">
        <f t="shared" si="247"/>
        <v>0</v>
      </c>
      <c r="V614" s="455">
        <f t="shared" si="247"/>
        <v>0</v>
      </c>
      <c r="W614" s="350">
        <f t="shared" si="247"/>
        <v>0</v>
      </c>
      <c r="X614" s="349">
        <f t="shared" si="247"/>
        <v>0</v>
      </c>
      <c r="Y614" s="455">
        <f t="shared" si="247"/>
        <v>0</v>
      </c>
      <c r="Z614" s="455">
        <f t="shared" si="247"/>
        <v>0</v>
      </c>
      <c r="AA614" s="455">
        <f t="shared" si="247"/>
        <v>0</v>
      </c>
      <c r="AB614" s="455">
        <f t="shared" si="247"/>
        <v>0</v>
      </c>
      <c r="AC614" s="455">
        <f t="shared" si="247"/>
        <v>0</v>
      </c>
      <c r="AD614" s="455">
        <f t="shared" si="247"/>
        <v>0</v>
      </c>
      <c r="AE614" s="455">
        <f t="shared" si="247"/>
        <v>0</v>
      </c>
      <c r="AF614" s="350">
        <f t="shared" si="247"/>
        <v>0</v>
      </c>
      <c r="AG614" s="293"/>
      <c r="AH614" s="293"/>
      <c r="AI614" s="293"/>
      <c r="AJ614" s="293"/>
      <c r="AK614" s="293"/>
      <c r="AL614" s="293"/>
      <c r="AM614" s="293"/>
      <c r="AN614" s="293"/>
      <c r="AO614" s="293"/>
      <c r="AP614" s="293"/>
      <c r="AQ614" s="293"/>
      <c r="AR614" s="293"/>
      <c r="AS614" s="293"/>
      <c r="AT614" s="293"/>
      <c r="AU614" s="293"/>
      <c r="AV614" s="293"/>
      <c r="AW614" s="293"/>
      <c r="AX614" s="293"/>
      <c r="AY614" s="293"/>
      <c r="AZ614" s="293"/>
      <c r="BA614" s="293"/>
      <c r="BB614" s="293"/>
      <c r="BC614" s="293"/>
      <c r="BD614" s="293"/>
      <c r="BE614" s="293"/>
      <c r="BF614" s="293"/>
      <c r="BG614" s="293"/>
      <c r="BH614" s="293"/>
      <c r="BI614" s="293"/>
      <c r="BJ614" s="293"/>
      <c r="BK614" s="293"/>
      <c r="BL614" s="293"/>
      <c r="BM614" s="293"/>
      <c r="BN614" s="293"/>
      <c r="BO614" s="293"/>
      <c r="BP614" s="293"/>
      <c r="BQ614" s="293"/>
      <c r="BR614" s="293"/>
      <c r="BS614" s="293"/>
      <c r="BT614" s="293"/>
      <c r="BU614" s="293"/>
      <c r="BV614" s="293"/>
      <c r="BW614" s="293"/>
      <c r="BX614" s="293"/>
      <c r="BY614" s="293"/>
      <c r="BZ614" s="293"/>
      <c r="CA614" s="293"/>
      <c r="CB614" s="293"/>
      <c r="CC614" s="293"/>
      <c r="CD614" s="293"/>
      <c r="CE614" s="293"/>
      <c r="CF614" s="293"/>
      <c r="CG614" s="293"/>
      <c r="CH614" s="293"/>
      <c r="CI614" s="293"/>
      <c r="CJ614" s="293"/>
      <c r="CK614" s="293"/>
      <c r="CL614" s="293"/>
      <c r="CM614" s="293"/>
      <c r="CN614" s="293"/>
      <c r="CO614" s="293"/>
      <c r="CP614" s="293"/>
      <c r="CQ614" s="293"/>
      <c r="CR614" s="293"/>
      <c r="CS614" s="293"/>
      <c r="CT614" s="293"/>
      <c r="CU614" s="293"/>
      <c r="CV614" s="293"/>
      <c r="CW614" s="293"/>
      <c r="CX614" s="293"/>
      <c r="CY614" s="293"/>
    </row>
    <row r="615" spans="1:103" outlineLevel="1" x14ac:dyDescent="0.25">
      <c r="A615" s="352" t="s">
        <v>468</v>
      </c>
      <c r="B615" s="475" t="s">
        <v>666</v>
      </c>
      <c r="C615" s="431">
        <v>1071.1199999999999</v>
      </c>
      <c r="D615" s="119">
        <v>2000</v>
      </c>
      <c r="E615" s="110"/>
      <c r="F615" s="119">
        <f>+L615</f>
        <v>0</v>
      </c>
      <c r="G615" s="294"/>
      <c r="H615" s="490">
        <f>+F615/C615</f>
        <v>0</v>
      </c>
      <c r="I615" s="290"/>
      <c r="J615" s="119">
        <f t="shared" si="238"/>
        <v>2000</v>
      </c>
      <c r="K615" s="290"/>
      <c r="L615" s="290">
        <f t="shared" si="231"/>
        <v>0</v>
      </c>
      <c r="M615" s="354"/>
      <c r="N615" s="353"/>
      <c r="O615" s="431"/>
      <c r="P615" s="119">
        <v>2000</v>
      </c>
      <c r="Q615" s="119"/>
      <c r="R615" s="119"/>
      <c r="S615" s="119"/>
      <c r="T615" s="119"/>
      <c r="U615" s="119"/>
      <c r="V615" s="119"/>
      <c r="W615" s="356"/>
      <c r="X615" s="290"/>
      <c r="Y615" s="119">
        <v>0</v>
      </c>
      <c r="Z615" s="119"/>
      <c r="AA615" s="119"/>
      <c r="AB615" s="119"/>
      <c r="AC615" s="119"/>
      <c r="AD615" s="119"/>
      <c r="AE615" s="355"/>
      <c r="AF615" s="356"/>
    </row>
    <row r="616" spans="1:103" outlineLevel="1" x14ac:dyDescent="0.25">
      <c r="A616" s="374" t="s">
        <v>1146</v>
      </c>
      <c r="B616" s="475" t="s">
        <v>47</v>
      </c>
      <c r="C616" s="431"/>
      <c r="D616" s="119">
        <f>+J616</f>
        <v>0</v>
      </c>
      <c r="E616" s="110"/>
      <c r="F616" s="119">
        <f>+L616</f>
        <v>0</v>
      </c>
      <c r="G616" s="294"/>
      <c r="H616" s="490"/>
      <c r="I616" s="290"/>
      <c r="J616" s="119">
        <f t="shared" si="238"/>
        <v>0</v>
      </c>
      <c r="K616" s="290"/>
      <c r="L616" s="290">
        <f t="shared" si="231"/>
        <v>0</v>
      </c>
      <c r="M616" s="354"/>
      <c r="N616" s="353"/>
      <c r="O616" s="431"/>
      <c r="P616" s="119"/>
      <c r="Q616" s="119"/>
      <c r="R616" s="119"/>
      <c r="S616" s="119"/>
      <c r="T616" s="119"/>
      <c r="U616" s="119"/>
      <c r="V616" s="119"/>
      <c r="W616" s="356"/>
      <c r="X616" s="290"/>
      <c r="Y616" s="119"/>
      <c r="Z616" s="119"/>
      <c r="AA616" s="119"/>
      <c r="AB616" s="119"/>
      <c r="AC616" s="119"/>
      <c r="AD616" s="119"/>
      <c r="AE616" s="355"/>
      <c r="AF616" s="356"/>
    </row>
    <row r="617" spans="1:103" s="351" customFormat="1" ht="15.75" x14ac:dyDescent="0.25">
      <c r="A617" s="345" t="s">
        <v>470</v>
      </c>
      <c r="B617" s="474" t="s">
        <v>250</v>
      </c>
      <c r="C617" s="430">
        <f>+C618+C619+C620+C621</f>
        <v>5388.0900000000011</v>
      </c>
      <c r="D617" s="455">
        <f>+D618+D619+D620+D621</f>
        <v>5250</v>
      </c>
      <c r="E617" s="274">
        <f>+E618+E619+E620+E621</f>
        <v>31054.210000000003</v>
      </c>
      <c r="F617" s="455">
        <f>+F618+F619+F620+F621</f>
        <v>29950</v>
      </c>
      <c r="G617" s="292">
        <f t="shared" ref="G617:G680" si="248">+D617/F617</f>
        <v>0.17529215358931552</v>
      </c>
      <c r="H617" s="489">
        <f>+F617/C617</f>
        <v>5.5585560003637644</v>
      </c>
      <c r="I617" s="349"/>
      <c r="J617" s="347">
        <f>+J618+J619+J620+J621</f>
        <v>5250</v>
      </c>
      <c r="K617" s="291"/>
      <c r="L617" s="291">
        <f t="shared" si="231"/>
        <v>29950</v>
      </c>
      <c r="M617" s="348">
        <f t="shared" ref="M617:M624" si="249">+J617/L617</f>
        <v>0.17529215358931552</v>
      </c>
      <c r="N617" s="392"/>
      <c r="O617" s="430">
        <f>+O618+O619+O620+O621</f>
        <v>200</v>
      </c>
      <c r="P617" s="455">
        <f t="shared" ref="P617:AF617" si="250">SUM(P618:P621)</f>
        <v>5050</v>
      </c>
      <c r="Q617" s="455">
        <f t="shared" si="250"/>
        <v>0</v>
      </c>
      <c r="R617" s="455">
        <f t="shared" si="250"/>
        <v>0</v>
      </c>
      <c r="S617" s="455">
        <f t="shared" si="250"/>
        <v>0</v>
      </c>
      <c r="T617" s="455">
        <f t="shared" si="250"/>
        <v>0</v>
      </c>
      <c r="U617" s="455">
        <f t="shared" si="250"/>
        <v>0</v>
      </c>
      <c r="V617" s="455">
        <f t="shared" si="250"/>
        <v>0</v>
      </c>
      <c r="W617" s="350">
        <f t="shared" si="250"/>
        <v>0</v>
      </c>
      <c r="X617" s="349">
        <f t="shared" si="250"/>
        <v>200</v>
      </c>
      <c r="Y617" s="455">
        <f t="shared" si="250"/>
        <v>1350</v>
      </c>
      <c r="Z617" s="455">
        <f t="shared" si="250"/>
        <v>24400</v>
      </c>
      <c r="AA617" s="455">
        <f t="shared" si="250"/>
        <v>0</v>
      </c>
      <c r="AB617" s="455">
        <f t="shared" si="250"/>
        <v>0</v>
      </c>
      <c r="AC617" s="455">
        <f t="shared" si="250"/>
        <v>4000</v>
      </c>
      <c r="AD617" s="455">
        <f t="shared" si="250"/>
        <v>0</v>
      </c>
      <c r="AE617" s="455">
        <f t="shared" si="250"/>
        <v>0</v>
      </c>
      <c r="AF617" s="350">
        <f t="shared" si="250"/>
        <v>0</v>
      </c>
      <c r="AG617" s="293"/>
      <c r="AH617" s="293"/>
      <c r="AI617" s="293"/>
      <c r="AJ617" s="293"/>
      <c r="AK617" s="293"/>
      <c r="AL617" s="293"/>
      <c r="AM617" s="293"/>
      <c r="AN617" s="293"/>
      <c r="AO617" s="293"/>
      <c r="AP617" s="293"/>
      <c r="AQ617" s="293"/>
      <c r="AR617" s="293"/>
      <c r="AS617" s="293"/>
      <c r="AT617" s="293"/>
      <c r="AU617" s="293"/>
      <c r="AV617" s="293"/>
      <c r="AW617" s="293"/>
      <c r="AX617" s="293"/>
      <c r="AY617" s="293"/>
      <c r="AZ617" s="293"/>
      <c r="BA617" s="293"/>
      <c r="BB617" s="293"/>
      <c r="BC617" s="293"/>
      <c r="BD617" s="293"/>
      <c r="BE617" s="293"/>
      <c r="BF617" s="293"/>
      <c r="BG617" s="293"/>
      <c r="BH617" s="293"/>
      <c r="BI617" s="293"/>
      <c r="BJ617" s="293"/>
      <c r="BK617" s="293"/>
      <c r="BL617" s="293"/>
      <c r="BM617" s="293"/>
      <c r="BN617" s="293"/>
      <c r="BO617" s="293"/>
      <c r="BP617" s="293"/>
      <c r="BQ617" s="293"/>
      <c r="BR617" s="293"/>
      <c r="BS617" s="293"/>
      <c r="BT617" s="293"/>
      <c r="BU617" s="293"/>
      <c r="BV617" s="293"/>
      <c r="BW617" s="293"/>
      <c r="BX617" s="293"/>
      <c r="BY617" s="293"/>
      <c r="BZ617" s="293"/>
      <c r="CA617" s="293"/>
      <c r="CB617" s="293"/>
      <c r="CC617" s="293"/>
      <c r="CD617" s="293"/>
      <c r="CE617" s="293"/>
      <c r="CF617" s="293"/>
      <c r="CG617" s="293"/>
      <c r="CH617" s="293"/>
      <c r="CI617" s="293"/>
      <c r="CJ617" s="293"/>
      <c r="CK617" s="293"/>
      <c r="CL617" s="293"/>
      <c r="CM617" s="293"/>
      <c r="CN617" s="293"/>
      <c r="CO617" s="293"/>
      <c r="CP617" s="293"/>
      <c r="CQ617" s="293"/>
      <c r="CR617" s="293"/>
      <c r="CS617" s="293"/>
      <c r="CT617" s="293"/>
      <c r="CU617" s="293"/>
      <c r="CV617" s="293"/>
      <c r="CW617" s="293"/>
      <c r="CX617" s="293"/>
      <c r="CY617" s="293"/>
    </row>
    <row r="618" spans="1:103" outlineLevel="1" x14ac:dyDescent="0.25">
      <c r="A618" s="352" t="s">
        <v>471</v>
      </c>
      <c r="B618" s="475" t="s">
        <v>937</v>
      </c>
      <c r="C618" s="431">
        <v>3027.29</v>
      </c>
      <c r="D618" s="119">
        <f>+J618</f>
        <v>4500</v>
      </c>
      <c r="E618" s="110">
        <v>4337.67</v>
      </c>
      <c r="F618" s="119">
        <f>+L618</f>
        <v>1000</v>
      </c>
      <c r="G618" s="294">
        <f t="shared" si="248"/>
        <v>4.5</v>
      </c>
      <c r="H618" s="490">
        <f>+F618/C618</f>
        <v>0.33032844557343366</v>
      </c>
      <c r="I618" s="290"/>
      <c r="J618" s="119">
        <f t="shared" si="238"/>
        <v>4500</v>
      </c>
      <c r="K618" s="290"/>
      <c r="L618" s="290">
        <f t="shared" si="231"/>
        <v>1000</v>
      </c>
      <c r="M618" s="354">
        <f t="shared" si="249"/>
        <v>4.5</v>
      </c>
      <c r="N618" s="353"/>
      <c r="O618" s="431"/>
      <c r="P618" s="119">
        <v>4500</v>
      </c>
      <c r="Q618" s="119"/>
      <c r="R618" s="119"/>
      <c r="S618" s="119"/>
      <c r="T618" s="119"/>
      <c r="U618" s="119"/>
      <c r="V618" s="119"/>
      <c r="W618" s="356"/>
      <c r="X618" s="290"/>
      <c r="Y618" s="119">
        <v>1000</v>
      </c>
      <c r="Z618" s="119"/>
      <c r="AA618" s="119"/>
      <c r="AB618" s="119"/>
      <c r="AC618" s="119"/>
      <c r="AD618" s="119"/>
      <c r="AE618" s="355"/>
      <c r="AF618" s="356"/>
    </row>
    <row r="619" spans="1:103" outlineLevel="1" x14ac:dyDescent="0.25">
      <c r="A619" s="374" t="s">
        <v>472</v>
      </c>
      <c r="B619" s="475" t="s">
        <v>837</v>
      </c>
      <c r="C619" s="431">
        <v>277.32</v>
      </c>
      <c r="D619" s="119">
        <f>+J619</f>
        <v>400</v>
      </c>
      <c r="E619" s="110">
        <v>369.89</v>
      </c>
      <c r="F619" s="119">
        <f>+L619</f>
        <v>200</v>
      </c>
      <c r="G619" s="294">
        <f t="shared" si="248"/>
        <v>2</v>
      </c>
      <c r="H619" s="490">
        <f>+F619/C619</f>
        <v>0.72118851867878264</v>
      </c>
      <c r="I619" s="290"/>
      <c r="J619" s="119">
        <f t="shared" si="238"/>
        <v>400</v>
      </c>
      <c r="K619" s="290"/>
      <c r="L619" s="290">
        <f t="shared" si="231"/>
        <v>200</v>
      </c>
      <c r="M619" s="354">
        <f t="shared" si="249"/>
        <v>2</v>
      </c>
      <c r="N619" s="353"/>
      <c r="O619" s="431">
        <f>+X619</f>
        <v>200</v>
      </c>
      <c r="P619" s="119">
        <v>200</v>
      </c>
      <c r="Q619" s="119"/>
      <c r="R619" s="119"/>
      <c r="S619" s="119"/>
      <c r="T619" s="119"/>
      <c r="U619" s="119"/>
      <c r="V619" s="119"/>
      <c r="W619" s="356"/>
      <c r="X619" s="290">
        <v>200</v>
      </c>
      <c r="Y619" s="119"/>
      <c r="Z619" s="119"/>
      <c r="AA619" s="119"/>
      <c r="AB619" s="119"/>
      <c r="AC619" s="119"/>
      <c r="AD619" s="119"/>
      <c r="AE619" s="355"/>
      <c r="AF619" s="356"/>
    </row>
    <row r="620" spans="1:103" outlineLevel="1" x14ac:dyDescent="0.25">
      <c r="A620" s="374" t="s">
        <v>473</v>
      </c>
      <c r="B620" s="475" t="s">
        <v>1408</v>
      </c>
      <c r="C620" s="431">
        <v>2395.92</v>
      </c>
      <c r="D620" s="119"/>
      <c r="E620" s="110">
        <f>26240.95+105.7</f>
        <v>26346.65</v>
      </c>
      <c r="F620" s="119">
        <f>+L620</f>
        <v>28400</v>
      </c>
      <c r="G620" s="294">
        <f t="shared" si="248"/>
        <v>0</v>
      </c>
      <c r="H620" s="490">
        <f>+F620/C620</f>
        <v>11.853484256569502</v>
      </c>
      <c r="I620" s="290"/>
      <c r="J620" s="119">
        <f t="shared" si="238"/>
        <v>0</v>
      </c>
      <c r="K620" s="290"/>
      <c r="L620" s="290">
        <f t="shared" si="231"/>
        <v>28400</v>
      </c>
      <c r="M620" s="354">
        <f t="shared" si="249"/>
        <v>0</v>
      </c>
      <c r="N620" s="353"/>
      <c r="O620" s="431"/>
      <c r="P620" s="119"/>
      <c r="Q620" s="119"/>
      <c r="R620" s="119"/>
      <c r="S620" s="119"/>
      <c r="T620" s="119"/>
      <c r="U620" s="119"/>
      <c r="V620" s="119"/>
      <c r="W620" s="356"/>
      <c r="X620" s="290"/>
      <c r="Y620" s="119"/>
      <c r="Z620" s="119">
        <v>24400</v>
      </c>
      <c r="AA620" s="119"/>
      <c r="AB620" s="119"/>
      <c r="AC620" s="119">
        <v>4000</v>
      </c>
      <c r="AD620" s="119"/>
      <c r="AE620" s="355"/>
      <c r="AF620" s="356"/>
    </row>
    <row r="621" spans="1:103" outlineLevel="1" x14ac:dyDescent="0.25">
      <c r="A621" s="352" t="s">
        <v>1147</v>
      </c>
      <c r="B621" s="475" t="s">
        <v>47</v>
      </c>
      <c r="C621" s="431">
        <v>-312.44</v>
      </c>
      <c r="D621" s="119">
        <f>+J621</f>
        <v>350</v>
      </c>
      <c r="E621" s="110"/>
      <c r="F621" s="119">
        <f>+L621</f>
        <v>350</v>
      </c>
      <c r="G621" s="294">
        <f t="shared" si="248"/>
        <v>1</v>
      </c>
      <c r="H621" s="490"/>
      <c r="I621" s="290"/>
      <c r="J621" s="119">
        <f t="shared" si="238"/>
        <v>350</v>
      </c>
      <c r="K621" s="290"/>
      <c r="L621" s="290">
        <f t="shared" si="231"/>
        <v>350</v>
      </c>
      <c r="M621" s="354">
        <f t="shared" si="249"/>
        <v>1</v>
      </c>
      <c r="N621" s="353"/>
      <c r="O621" s="431"/>
      <c r="P621" s="119">
        <v>350</v>
      </c>
      <c r="Q621" s="119"/>
      <c r="R621" s="119"/>
      <c r="S621" s="119"/>
      <c r="T621" s="119"/>
      <c r="U621" s="119"/>
      <c r="V621" s="119"/>
      <c r="W621" s="356"/>
      <c r="X621" s="290"/>
      <c r="Y621" s="119">
        <f>500-150</f>
        <v>350</v>
      </c>
      <c r="Z621" s="119"/>
      <c r="AA621" s="119"/>
      <c r="AB621" s="119"/>
      <c r="AC621" s="119"/>
      <c r="AD621" s="119"/>
      <c r="AE621" s="355"/>
      <c r="AF621" s="356"/>
    </row>
    <row r="622" spans="1:103" s="351" customFormat="1" ht="15.75" x14ac:dyDescent="0.25">
      <c r="A622" s="345" t="s">
        <v>475</v>
      </c>
      <c r="B622" s="474" t="s">
        <v>495</v>
      </c>
      <c r="C622" s="430">
        <f>+C623</f>
        <v>950</v>
      </c>
      <c r="D622" s="455">
        <f>+D623</f>
        <v>950</v>
      </c>
      <c r="E622" s="274">
        <f>+E623</f>
        <v>950</v>
      </c>
      <c r="F622" s="455">
        <f>+F623</f>
        <v>950</v>
      </c>
      <c r="G622" s="292">
        <f t="shared" si="248"/>
        <v>1</v>
      </c>
      <c r="H622" s="489">
        <f>+F622/C622</f>
        <v>1</v>
      </c>
      <c r="I622" s="349"/>
      <c r="J622" s="347">
        <f t="shared" si="238"/>
        <v>950</v>
      </c>
      <c r="K622" s="291"/>
      <c r="L622" s="291">
        <f t="shared" si="231"/>
        <v>950</v>
      </c>
      <c r="M622" s="348">
        <f t="shared" si="249"/>
        <v>1</v>
      </c>
      <c r="N622" s="392"/>
      <c r="O622" s="430">
        <f>+O623</f>
        <v>0</v>
      </c>
      <c r="P622" s="455">
        <f t="shared" ref="P622:AF622" si="251">SUM(P623:P623)</f>
        <v>950</v>
      </c>
      <c r="Q622" s="455">
        <f t="shared" si="251"/>
        <v>0</v>
      </c>
      <c r="R622" s="455">
        <f t="shared" si="251"/>
        <v>0</v>
      </c>
      <c r="S622" s="455">
        <f t="shared" si="251"/>
        <v>0</v>
      </c>
      <c r="T622" s="455">
        <f t="shared" si="251"/>
        <v>0</v>
      </c>
      <c r="U622" s="455">
        <f t="shared" si="251"/>
        <v>0</v>
      </c>
      <c r="V622" s="455">
        <f t="shared" si="251"/>
        <v>0</v>
      </c>
      <c r="W622" s="350">
        <f t="shared" si="251"/>
        <v>0</v>
      </c>
      <c r="X622" s="349">
        <f t="shared" si="251"/>
        <v>0</v>
      </c>
      <c r="Y622" s="455">
        <f t="shared" si="251"/>
        <v>950</v>
      </c>
      <c r="Z622" s="455">
        <f t="shared" si="251"/>
        <v>0</v>
      </c>
      <c r="AA622" s="455">
        <f t="shared" si="251"/>
        <v>0</v>
      </c>
      <c r="AB622" s="455">
        <f t="shared" si="251"/>
        <v>0</v>
      </c>
      <c r="AC622" s="455">
        <f t="shared" si="251"/>
        <v>0</v>
      </c>
      <c r="AD622" s="455">
        <f t="shared" si="251"/>
        <v>0</v>
      </c>
      <c r="AE622" s="455">
        <f t="shared" si="251"/>
        <v>0</v>
      </c>
      <c r="AF622" s="350">
        <f t="shared" si="251"/>
        <v>0</v>
      </c>
      <c r="AG622" s="293"/>
      <c r="AH622" s="293"/>
      <c r="AI622" s="293"/>
      <c r="AJ622" s="293"/>
      <c r="AK622" s="293"/>
      <c r="AL622" s="293"/>
      <c r="AM622" s="293"/>
      <c r="AN622" s="293"/>
      <c r="AO622" s="293"/>
      <c r="AP622" s="293"/>
      <c r="AQ622" s="293"/>
      <c r="AR622" s="293"/>
      <c r="AS622" s="293"/>
      <c r="AT622" s="293"/>
      <c r="AU622" s="293"/>
      <c r="AV622" s="293"/>
      <c r="AW622" s="293"/>
      <c r="AX622" s="293"/>
      <c r="AY622" s="293"/>
      <c r="AZ622" s="293"/>
      <c r="BA622" s="293"/>
      <c r="BB622" s="293"/>
      <c r="BC622" s="293"/>
      <c r="BD622" s="293"/>
      <c r="BE622" s="293"/>
      <c r="BF622" s="293"/>
      <c r="BG622" s="293"/>
      <c r="BH622" s="293"/>
      <c r="BI622" s="293"/>
      <c r="BJ622" s="293"/>
      <c r="BK622" s="293"/>
      <c r="BL622" s="293"/>
      <c r="BM622" s="293"/>
      <c r="BN622" s="293"/>
      <c r="BO622" s="293"/>
      <c r="BP622" s="293"/>
      <c r="BQ622" s="293"/>
      <c r="BR622" s="293"/>
      <c r="BS622" s="293"/>
      <c r="BT622" s="293"/>
      <c r="BU622" s="293"/>
      <c r="BV622" s="293"/>
      <c r="BW622" s="293"/>
      <c r="BX622" s="293"/>
      <c r="BY622" s="293"/>
      <c r="BZ622" s="293"/>
      <c r="CA622" s="293"/>
      <c r="CB622" s="293"/>
      <c r="CC622" s="293"/>
      <c r="CD622" s="293"/>
      <c r="CE622" s="293"/>
      <c r="CF622" s="293"/>
      <c r="CG622" s="293"/>
      <c r="CH622" s="293"/>
      <c r="CI622" s="293"/>
      <c r="CJ622" s="293"/>
      <c r="CK622" s="293"/>
      <c r="CL622" s="293"/>
      <c r="CM622" s="293"/>
      <c r="CN622" s="293"/>
      <c r="CO622" s="293"/>
      <c r="CP622" s="293"/>
      <c r="CQ622" s="293"/>
      <c r="CR622" s="293"/>
      <c r="CS622" s="293"/>
      <c r="CT622" s="293"/>
      <c r="CU622" s="293"/>
      <c r="CV622" s="293"/>
      <c r="CW622" s="293"/>
      <c r="CX622" s="293"/>
      <c r="CY622" s="293"/>
    </row>
    <row r="623" spans="1:103" outlineLevel="1" x14ac:dyDescent="0.25">
      <c r="A623" s="352" t="s">
        <v>494</v>
      </c>
      <c r="B623" s="475" t="s">
        <v>495</v>
      </c>
      <c r="C623" s="431">
        <v>950</v>
      </c>
      <c r="D623" s="119">
        <f>+J623</f>
        <v>950</v>
      </c>
      <c r="E623" s="110">
        <v>950</v>
      </c>
      <c r="F623" s="119">
        <f>+L623</f>
        <v>950</v>
      </c>
      <c r="G623" s="294">
        <f t="shared" si="248"/>
        <v>1</v>
      </c>
      <c r="H623" s="490">
        <f>+F623/C623</f>
        <v>1</v>
      </c>
      <c r="I623" s="290"/>
      <c r="J623" s="119">
        <f t="shared" si="238"/>
        <v>950</v>
      </c>
      <c r="K623" s="290"/>
      <c r="L623" s="290">
        <f t="shared" si="231"/>
        <v>950</v>
      </c>
      <c r="M623" s="354">
        <f t="shared" si="249"/>
        <v>1</v>
      </c>
      <c r="N623" s="353"/>
      <c r="O623" s="431"/>
      <c r="P623" s="119">
        <v>950</v>
      </c>
      <c r="Q623" s="119"/>
      <c r="R623" s="119"/>
      <c r="S623" s="119"/>
      <c r="T623" s="119"/>
      <c r="U623" s="119"/>
      <c r="V623" s="119"/>
      <c r="W623" s="356"/>
      <c r="X623" s="290"/>
      <c r="Y623" s="119">
        <v>950</v>
      </c>
      <c r="Z623" s="119"/>
      <c r="AA623" s="119"/>
      <c r="AB623" s="119"/>
      <c r="AC623" s="119"/>
      <c r="AD623" s="119"/>
      <c r="AE623" s="355"/>
      <c r="AF623" s="356"/>
    </row>
    <row r="624" spans="1:103" s="344" customFormat="1" ht="21" x14ac:dyDescent="0.35">
      <c r="A624" s="513" t="s">
        <v>476</v>
      </c>
      <c r="B624" s="473" t="s">
        <v>457</v>
      </c>
      <c r="C624" s="429">
        <f>+C626+C631+C635+C638+C642</f>
        <v>7755.87</v>
      </c>
      <c r="D624" s="339">
        <f>+D626+D631+D635+D638+D642</f>
        <v>8737</v>
      </c>
      <c r="E624" s="501">
        <f>+E626+E631+E635+E638+E642</f>
        <v>7989.9599999999991</v>
      </c>
      <c r="F624" s="339">
        <f>+F626+F631+F635+F638+F642</f>
        <v>8180.53</v>
      </c>
      <c r="G624" s="340">
        <f t="shared" si="248"/>
        <v>1.068023709955223</v>
      </c>
      <c r="H624" s="488">
        <f>+F624/C624</f>
        <v>1.0547533674494287</v>
      </c>
      <c r="I624" s="288">
        <v>6087</v>
      </c>
      <c r="J624" s="339">
        <f t="shared" si="238"/>
        <v>8737</v>
      </c>
      <c r="K624" s="288">
        <v>5000</v>
      </c>
      <c r="L624" s="288">
        <f t="shared" si="231"/>
        <v>8736.5299999999988</v>
      </c>
      <c r="M624" s="342">
        <f t="shared" si="249"/>
        <v>1.0000537971025112</v>
      </c>
      <c r="N624" s="341">
        <f>+L624/I624</f>
        <v>1.4352768194512895</v>
      </c>
      <c r="O624" s="429">
        <f t="shared" ref="O624:AC624" si="252">O626+O631+O635+O638+O642</f>
        <v>2404</v>
      </c>
      <c r="P624" s="339">
        <f t="shared" si="252"/>
        <v>6333</v>
      </c>
      <c r="Q624" s="339">
        <f t="shared" si="252"/>
        <v>0</v>
      </c>
      <c r="R624" s="339">
        <f t="shared" si="252"/>
        <v>0</v>
      </c>
      <c r="S624" s="339">
        <f t="shared" si="252"/>
        <v>0</v>
      </c>
      <c r="T624" s="339">
        <f t="shared" si="252"/>
        <v>0</v>
      </c>
      <c r="U624" s="339">
        <f t="shared" si="252"/>
        <v>0</v>
      </c>
      <c r="V624" s="339">
        <f t="shared" si="252"/>
        <v>0</v>
      </c>
      <c r="W624" s="461">
        <f t="shared" si="252"/>
        <v>0</v>
      </c>
      <c r="X624" s="288">
        <f t="shared" si="252"/>
        <v>2403.5299999999997</v>
      </c>
      <c r="Y624" s="288">
        <f t="shared" si="252"/>
        <v>6333</v>
      </c>
      <c r="Z624" s="288">
        <f t="shared" si="252"/>
        <v>0</v>
      </c>
      <c r="AA624" s="288">
        <f t="shared" si="252"/>
        <v>0</v>
      </c>
      <c r="AB624" s="288">
        <f t="shared" si="252"/>
        <v>0</v>
      </c>
      <c r="AC624" s="288">
        <f t="shared" si="252"/>
        <v>0</v>
      </c>
      <c r="AD624" s="288">
        <f>AD626+AD631+AD635+AD638+AD642</f>
        <v>0</v>
      </c>
      <c r="AE624" s="288"/>
      <c r="AF624" s="289">
        <f>AF626+AF631+AF635+AF638+AF642</f>
        <v>0</v>
      </c>
      <c r="AG624" s="343"/>
      <c r="AH624" s="343"/>
      <c r="AI624" s="343"/>
      <c r="AJ624" s="343"/>
      <c r="AK624" s="343"/>
      <c r="AL624" s="343"/>
      <c r="AM624" s="343"/>
      <c r="AN624" s="343"/>
      <c r="AO624" s="343"/>
      <c r="AP624" s="343"/>
      <c r="AQ624" s="343"/>
      <c r="AR624" s="343"/>
      <c r="AS624" s="343"/>
      <c r="AT624" s="343"/>
      <c r="AU624" s="343"/>
      <c r="AV624" s="343"/>
      <c r="AW624" s="343"/>
      <c r="AX624" s="343"/>
      <c r="AY624" s="343"/>
      <c r="AZ624" s="343"/>
      <c r="BA624" s="343"/>
      <c r="BB624" s="343"/>
      <c r="BC624" s="343"/>
      <c r="BD624" s="343"/>
      <c r="BE624" s="343"/>
      <c r="BF624" s="343"/>
      <c r="BG624" s="343"/>
      <c r="BH624" s="343"/>
      <c r="BI624" s="343"/>
      <c r="BJ624" s="343"/>
      <c r="BK624" s="343"/>
      <c r="BL624" s="343"/>
      <c r="BM624" s="343"/>
      <c r="BN624" s="343"/>
      <c r="BO624" s="343"/>
      <c r="BP624" s="343"/>
      <c r="BQ624" s="343"/>
      <c r="BR624" s="343"/>
      <c r="BS624" s="343"/>
      <c r="BT624" s="343"/>
      <c r="BU624" s="343"/>
      <c r="BV624" s="343"/>
      <c r="BW624" s="343"/>
      <c r="BX624" s="343"/>
      <c r="BY624" s="343"/>
      <c r="BZ624" s="343"/>
      <c r="CA624" s="343"/>
      <c r="CB624" s="343"/>
      <c r="CC624" s="343"/>
      <c r="CD624" s="343"/>
      <c r="CE624" s="343"/>
      <c r="CF624" s="343"/>
      <c r="CG624" s="343"/>
      <c r="CH624" s="343"/>
      <c r="CI624" s="343"/>
      <c r="CJ624" s="343"/>
      <c r="CK624" s="343"/>
      <c r="CL624" s="343"/>
      <c r="CM624" s="343"/>
      <c r="CN624" s="343"/>
      <c r="CO624" s="343"/>
      <c r="CP624" s="343"/>
      <c r="CQ624" s="343"/>
      <c r="CR624" s="343"/>
      <c r="CS624" s="343"/>
      <c r="CT624" s="343"/>
      <c r="CU624" s="343"/>
      <c r="CV624" s="343"/>
      <c r="CW624" s="343"/>
      <c r="CX624" s="343"/>
      <c r="CY624" s="343"/>
    </row>
    <row r="625" spans="1:103" s="344" customFormat="1" ht="21" x14ac:dyDescent="0.35">
      <c r="A625" s="394"/>
      <c r="B625" s="479" t="s">
        <v>1343</v>
      </c>
      <c r="C625" s="433"/>
      <c r="D625" s="383"/>
      <c r="E625" s="502"/>
      <c r="F625" s="383"/>
      <c r="G625" s="384"/>
      <c r="H625" s="492"/>
      <c r="I625" s="386">
        <v>-1669</v>
      </c>
      <c r="J625" s="383">
        <v>651</v>
      </c>
      <c r="K625" s="386"/>
      <c r="L625" s="386">
        <f>+J625</f>
        <v>651</v>
      </c>
      <c r="M625" s="395"/>
      <c r="N625" s="417"/>
      <c r="O625" s="434"/>
      <c r="P625" s="415"/>
      <c r="Q625" s="415"/>
      <c r="R625" s="415"/>
      <c r="S625" s="415"/>
      <c r="T625" s="415"/>
      <c r="U625" s="415"/>
      <c r="V625" s="415"/>
      <c r="W625" s="521"/>
      <c r="X625" s="396"/>
      <c r="Y625" s="396"/>
      <c r="Z625" s="396"/>
      <c r="AA625" s="396"/>
      <c r="AB625" s="396"/>
      <c r="AC625" s="396"/>
      <c r="AD625" s="396"/>
      <c r="AE625" s="396"/>
      <c r="AF625" s="397"/>
      <c r="AG625" s="343"/>
      <c r="AH625" s="343"/>
      <c r="AI625" s="343"/>
      <c r="AJ625" s="343"/>
      <c r="AK625" s="343"/>
      <c r="AL625" s="343"/>
      <c r="AM625" s="343"/>
      <c r="AN625" s="343"/>
      <c r="AO625" s="343"/>
      <c r="AP625" s="343"/>
      <c r="AQ625" s="343"/>
      <c r="AR625" s="343"/>
      <c r="AS625" s="343"/>
      <c r="AT625" s="343"/>
      <c r="AU625" s="343"/>
      <c r="AV625" s="343"/>
      <c r="AW625" s="343"/>
      <c r="AX625" s="343"/>
      <c r="AY625" s="343"/>
      <c r="AZ625" s="343"/>
      <c r="BA625" s="343"/>
      <c r="BB625" s="343"/>
      <c r="BC625" s="343"/>
      <c r="BD625" s="343"/>
      <c r="BE625" s="343"/>
      <c r="BF625" s="343"/>
      <c r="BG625" s="343"/>
      <c r="BH625" s="343"/>
      <c r="BI625" s="343"/>
      <c r="BJ625" s="343"/>
      <c r="BK625" s="343"/>
      <c r="BL625" s="343"/>
      <c r="BM625" s="343"/>
      <c r="BN625" s="343"/>
      <c r="BO625" s="343"/>
      <c r="BP625" s="343"/>
      <c r="BQ625" s="343"/>
      <c r="BR625" s="343"/>
      <c r="BS625" s="343"/>
      <c r="BT625" s="343"/>
      <c r="BU625" s="343"/>
      <c r="BV625" s="343"/>
      <c r="BW625" s="343"/>
      <c r="BX625" s="343"/>
      <c r="BY625" s="343"/>
      <c r="BZ625" s="343"/>
      <c r="CA625" s="343"/>
      <c r="CB625" s="343"/>
      <c r="CC625" s="343"/>
      <c r="CD625" s="343"/>
      <c r="CE625" s="343"/>
      <c r="CF625" s="343"/>
      <c r="CG625" s="343"/>
      <c r="CH625" s="343"/>
      <c r="CI625" s="343"/>
      <c r="CJ625" s="343"/>
      <c r="CK625" s="343"/>
      <c r="CL625" s="343"/>
      <c r="CM625" s="343"/>
      <c r="CN625" s="343"/>
      <c r="CO625" s="343"/>
      <c r="CP625" s="343"/>
      <c r="CQ625" s="343"/>
      <c r="CR625" s="343"/>
      <c r="CS625" s="343"/>
      <c r="CT625" s="343"/>
      <c r="CU625" s="343"/>
      <c r="CV625" s="343"/>
      <c r="CW625" s="343"/>
      <c r="CX625" s="343"/>
      <c r="CY625" s="343"/>
    </row>
    <row r="626" spans="1:103" s="351" customFormat="1" ht="15.75" x14ac:dyDescent="0.25">
      <c r="A626" s="345" t="s">
        <v>478</v>
      </c>
      <c r="B626" s="474" t="s">
        <v>265</v>
      </c>
      <c r="C626" s="430">
        <f>+C627+C628+C629+C630</f>
        <v>680.37</v>
      </c>
      <c r="D626" s="455">
        <f>+D627+D628+D629+D630</f>
        <v>704</v>
      </c>
      <c r="E626" s="274">
        <f>+E627+E628+E629+E630</f>
        <v>656.41</v>
      </c>
      <c r="F626" s="455">
        <f>+F627+F628+F629+F630</f>
        <v>653.53</v>
      </c>
      <c r="G626" s="292">
        <f t="shared" si="248"/>
        <v>1.0772267531712394</v>
      </c>
      <c r="H626" s="489">
        <f>+F626/C626</f>
        <v>0.96055087672883865</v>
      </c>
      <c r="I626" s="349"/>
      <c r="J626" s="347">
        <f>+J627+J628+J629+J630</f>
        <v>704</v>
      </c>
      <c r="K626" s="291"/>
      <c r="L626" s="291">
        <f t="shared" si="231"/>
        <v>653.53</v>
      </c>
      <c r="M626" s="348">
        <f>+J626/L626</f>
        <v>1.0772267531712394</v>
      </c>
      <c r="N626" s="392"/>
      <c r="O626" s="430">
        <f>+O627+O628+O629+O630</f>
        <v>704</v>
      </c>
      <c r="P626" s="455">
        <f>SUM(P627:P630)</f>
        <v>0</v>
      </c>
      <c r="Q626" s="455">
        <f>SUM(Q627:Q630)</f>
        <v>0</v>
      </c>
      <c r="R626" s="455">
        <f>SUM(R627:R630)</f>
        <v>0</v>
      </c>
      <c r="S626" s="455">
        <f>SUM(S627:S630)</f>
        <v>0</v>
      </c>
      <c r="T626" s="455">
        <f t="shared" ref="T626:AA626" si="253">SUM(T627:T630)</f>
        <v>0</v>
      </c>
      <c r="U626" s="455">
        <f t="shared" si="253"/>
        <v>0</v>
      </c>
      <c r="V626" s="455">
        <f t="shared" si="253"/>
        <v>0</v>
      </c>
      <c r="W626" s="350">
        <f t="shared" si="253"/>
        <v>0</v>
      </c>
      <c r="X626" s="349">
        <f t="shared" si="253"/>
        <v>653.53</v>
      </c>
      <c r="Y626" s="455">
        <f t="shared" si="253"/>
        <v>0</v>
      </c>
      <c r="Z626" s="455">
        <f t="shared" si="253"/>
        <v>0</v>
      </c>
      <c r="AA626" s="455">
        <f t="shared" si="253"/>
        <v>0</v>
      </c>
      <c r="AB626" s="455">
        <f>SUM(AB627:AB630)</f>
        <v>0</v>
      </c>
      <c r="AC626" s="455">
        <f>SUM(AC627:AC630)</f>
        <v>0</v>
      </c>
      <c r="AD626" s="455">
        <f>SUM(AD627:AD630)</f>
        <v>0</v>
      </c>
      <c r="AE626" s="455">
        <f>SUM(AE627:AE630)</f>
        <v>0</v>
      </c>
      <c r="AF626" s="350">
        <f>SUM(AF627:AF630)</f>
        <v>0</v>
      </c>
      <c r="AG626" s="293"/>
      <c r="AH626" s="293"/>
      <c r="AI626" s="293"/>
      <c r="AJ626" s="293"/>
      <c r="AK626" s="293"/>
      <c r="AL626" s="293"/>
      <c r="AM626" s="293"/>
      <c r="AN626" s="293"/>
      <c r="AO626" s="293"/>
      <c r="AP626" s="293"/>
      <c r="AQ626" s="293"/>
      <c r="AR626" s="293"/>
      <c r="AS626" s="293"/>
      <c r="AT626" s="293"/>
      <c r="AU626" s="293"/>
      <c r="AV626" s="293"/>
      <c r="AW626" s="293"/>
      <c r="AX626" s="293"/>
      <c r="AY626" s="293"/>
      <c r="AZ626" s="293"/>
      <c r="BA626" s="293"/>
      <c r="BB626" s="293"/>
      <c r="BC626" s="293"/>
      <c r="BD626" s="293"/>
      <c r="BE626" s="293"/>
      <c r="BF626" s="293"/>
      <c r="BG626" s="293"/>
      <c r="BH626" s="293"/>
      <c r="BI626" s="293"/>
      <c r="BJ626" s="293"/>
      <c r="BK626" s="293"/>
      <c r="BL626" s="293"/>
      <c r="BM626" s="293"/>
      <c r="BN626" s="293"/>
      <c r="BO626" s="293"/>
      <c r="BP626" s="293"/>
      <c r="BQ626" s="293"/>
      <c r="BR626" s="293"/>
      <c r="BS626" s="293"/>
      <c r="BT626" s="293"/>
      <c r="BU626" s="293"/>
      <c r="BV626" s="293"/>
      <c r="BW626" s="293"/>
      <c r="BX626" s="293"/>
      <c r="BY626" s="293"/>
      <c r="BZ626" s="293"/>
      <c r="CA626" s="293"/>
      <c r="CB626" s="293"/>
      <c r="CC626" s="293"/>
      <c r="CD626" s="293"/>
      <c r="CE626" s="293"/>
      <c r="CF626" s="293"/>
      <c r="CG626" s="293"/>
      <c r="CH626" s="293"/>
      <c r="CI626" s="293"/>
      <c r="CJ626" s="293"/>
      <c r="CK626" s="293"/>
      <c r="CL626" s="293"/>
      <c r="CM626" s="293"/>
      <c r="CN626" s="293"/>
      <c r="CO626" s="293"/>
      <c r="CP626" s="293"/>
      <c r="CQ626" s="293"/>
      <c r="CR626" s="293"/>
      <c r="CS626" s="293"/>
      <c r="CT626" s="293"/>
      <c r="CU626" s="293"/>
      <c r="CV626" s="293"/>
      <c r="CW626" s="293"/>
      <c r="CX626" s="293"/>
      <c r="CY626" s="293"/>
    </row>
    <row r="627" spans="1:103" outlineLevel="1" x14ac:dyDescent="0.25">
      <c r="A627" s="358" t="s">
        <v>479</v>
      </c>
      <c r="B627" s="475" t="s">
        <v>281</v>
      </c>
      <c r="C627" s="431">
        <v>154.41</v>
      </c>
      <c r="D627" s="119">
        <f>+J627</f>
        <v>200</v>
      </c>
      <c r="E627" s="110">
        <v>149.53</v>
      </c>
      <c r="F627" s="119">
        <f>+L627</f>
        <v>149.53</v>
      </c>
      <c r="G627" s="294">
        <f t="shared" si="248"/>
        <v>1.3375242426268976</v>
      </c>
      <c r="H627" s="490">
        <f>+F627/C627</f>
        <v>0.96839582928566803</v>
      </c>
      <c r="I627" s="290"/>
      <c r="J627" s="119">
        <f t="shared" ref="J627:J644" si="254">+O627+P627+Q627+R627+S627+T627+U627+V627+W627</f>
        <v>200</v>
      </c>
      <c r="K627" s="290"/>
      <c r="L627" s="290">
        <f t="shared" si="231"/>
        <v>149.53</v>
      </c>
      <c r="M627" s="354">
        <f>+J627/L627</f>
        <v>1.3375242426268976</v>
      </c>
      <c r="N627" s="353"/>
      <c r="O627" s="431">
        <v>200</v>
      </c>
      <c r="P627" s="119"/>
      <c r="Q627" s="119"/>
      <c r="R627" s="119"/>
      <c r="S627" s="119"/>
      <c r="T627" s="119"/>
      <c r="U627" s="119"/>
      <c r="V627" s="119"/>
      <c r="W627" s="356"/>
      <c r="X627" s="290">
        <v>149.53</v>
      </c>
      <c r="Y627" s="119"/>
      <c r="Z627" s="119"/>
      <c r="AA627" s="119"/>
      <c r="AB627" s="119"/>
      <c r="AC627" s="119"/>
      <c r="AD627" s="119"/>
      <c r="AE627" s="355"/>
      <c r="AF627" s="356"/>
    </row>
    <row r="628" spans="1:103" outlineLevel="1" x14ac:dyDescent="0.25">
      <c r="A628" s="352" t="s">
        <v>480</v>
      </c>
      <c r="B628" s="475" t="s">
        <v>309</v>
      </c>
      <c r="C628" s="431">
        <v>525.96</v>
      </c>
      <c r="D628" s="119">
        <f>+J628</f>
        <v>504</v>
      </c>
      <c r="E628" s="110">
        <v>506.88</v>
      </c>
      <c r="F628" s="119">
        <f>+L628</f>
        <v>504</v>
      </c>
      <c r="G628" s="294">
        <f t="shared" si="248"/>
        <v>1</v>
      </c>
      <c r="H628" s="490">
        <f>+F628/C628</f>
        <v>0.95824777549623541</v>
      </c>
      <c r="I628" s="290"/>
      <c r="J628" s="119">
        <f t="shared" si="254"/>
        <v>504</v>
      </c>
      <c r="K628" s="290"/>
      <c r="L628" s="290">
        <f t="shared" si="231"/>
        <v>504</v>
      </c>
      <c r="M628" s="354">
        <f>+J628/L628</f>
        <v>1</v>
      </c>
      <c r="N628" s="353"/>
      <c r="O628" s="431">
        <f>+X628</f>
        <v>504</v>
      </c>
      <c r="P628" s="119"/>
      <c r="Q628" s="119"/>
      <c r="R628" s="119"/>
      <c r="S628" s="119"/>
      <c r="T628" s="119"/>
      <c r="U628" s="119"/>
      <c r="V628" s="119"/>
      <c r="W628" s="356"/>
      <c r="X628" s="290">
        <v>504</v>
      </c>
      <c r="Y628" s="119"/>
      <c r="Z628" s="119"/>
      <c r="AA628" s="119"/>
      <c r="AB628" s="119"/>
      <c r="AC628" s="119"/>
      <c r="AD628" s="119"/>
      <c r="AE628" s="355"/>
      <c r="AF628" s="356"/>
    </row>
    <row r="629" spans="1:103" outlineLevel="1" x14ac:dyDescent="0.25">
      <c r="A629" s="352" t="s">
        <v>481</v>
      </c>
      <c r="B629" s="475" t="s">
        <v>285</v>
      </c>
      <c r="C629" s="431"/>
      <c r="D629" s="119">
        <f>+J629</f>
        <v>0</v>
      </c>
      <c r="E629" s="110"/>
      <c r="F629" s="119">
        <f>+L629</f>
        <v>0</v>
      </c>
      <c r="G629" s="294"/>
      <c r="H629" s="490"/>
      <c r="I629" s="290"/>
      <c r="J629" s="119">
        <f t="shared" si="254"/>
        <v>0</v>
      </c>
      <c r="K629" s="290"/>
      <c r="L629" s="290">
        <f t="shared" si="231"/>
        <v>0</v>
      </c>
      <c r="M629" s="354"/>
      <c r="N629" s="353"/>
      <c r="O629" s="431"/>
      <c r="P629" s="119"/>
      <c r="Q629" s="119"/>
      <c r="R629" s="119"/>
      <c r="S629" s="119"/>
      <c r="T629" s="119"/>
      <c r="U629" s="119"/>
      <c r="V629" s="119"/>
      <c r="W629" s="356"/>
      <c r="X629" s="290"/>
      <c r="Y629" s="119"/>
      <c r="Z629" s="119"/>
      <c r="AA629" s="119"/>
      <c r="AB629" s="119"/>
      <c r="AC629" s="119"/>
      <c r="AD629" s="119"/>
      <c r="AE629" s="355"/>
      <c r="AF629" s="356"/>
    </row>
    <row r="630" spans="1:103" outlineLevel="1" x14ac:dyDescent="0.25">
      <c r="A630" s="352" t="s">
        <v>1148</v>
      </c>
      <c r="B630" s="475" t="s">
        <v>47</v>
      </c>
      <c r="C630" s="431"/>
      <c r="D630" s="119">
        <f>+J630</f>
        <v>0</v>
      </c>
      <c r="E630" s="110"/>
      <c r="F630" s="119">
        <f>+L630</f>
        <v>0</v>
      </c>
      <c r="G630" s="294"/>
      <c r="H630" s="490"/>
      <c r="I630" s="290"/>
      <c r="J630" s="119">
        <f t="shared" si="254"/>
        <v>0</v>
      </c>
      <c r="K630" s="290"/>
      <c r="L630" s="290">
        <f t="shared" si="231"/>
        <v>0</v>
      </c>
      <c r="M630" s="354"/>
      <c r="N630" s="353"/>
      <c r="O630" s="431"/>
      <c r="P630" s="119"/>
      <c r="Q630" s="119"/>
      <c r="R630" s="119"/>
      <c r="S630" s="119"/>
      <c r="T630" s="119"/>
      <c r="U630" s="119"/>
      <c r="V630" s="119"/>
      <c r="W630" s="356"/>
      <c r="X630" s="290"/>
      <c r="Y630" s="119"/>
      <c r="Z630" s="119"/>
      <c r="AA630" s="119"/>
      <c r="AB630" s="119"/>
      <c r="AC630" s="119"/>
      <c r="AD630" s="119"/>
      <c r="AE630" s="355"/>
      <c r="AF630" s="356"/>
    </row>
    <row r="631" spans="1:103" s="351" customFormat="1" ht="15.75" x14ac:dyDescent="0.25">
      <c r="A631" s="345" t="s">
        <v>483</v>
      </c>
      <c r="B631" s="474" t="s">
        <v>248</v>
      </c>
      <c r="C631" s="430">
        <f>+C632+C633+C634</f>
        <v>5247.16</v>
      </c>
      <c r="D631" s="455">
        <f>+D632+D633+D634</f>
        <v>4733</v>
      </c>
      <c r="E631" s="274">
        <f>+E632+E633+E634</f>
        <v>5381.46</v>
      </c>
      <c r="F631" s="455">
        <f>+F632+F633+F634</f>
        <v>5483</v>
      </c>
      <c r="G631" s="292">
        <f t="shared" si="248"/>
        <v>0.863213569213934</v>
      </c>
      <c r="H631" s="489">
        <f>+F631/C631</f>
        <v>1.0449462185258311</v>
      </c>
      <c r="I631" s="349"/>
      <c r="J631" s="347">
        <f>+J632+J633+J634</f>
        <v>4733</v>
      </c>
      <c r="K631" s="291"/>
      <c r="L631" s="291">
        <f t="shared" si="231"/>
        <v>5483</v>
      </c>
      <c r="M631" s="348">
        <f>+J631/L631</f>
        <v>0.863213569213934</v>
      </c>
      <c r="N631" s="392"/>
      <c r="O631" s="430">
        <f>+O632+O633+O634</f>
        <v>0</v>
      </c>
      <c r="P631" s="455">
        <f t="shared" ref="P631:AF631" si="255">SUM(P632:P634)</f>
        <v>4733</v>
      </c>
      <c r="Q631" s="455">
        <f t="shared" si="255"/>
        <v>0</v>
      </c>
      <c r="R631" s="455">
        <f t="shared" si="255"/>
        <v>0</v>
      </c>
      <c r="S631" s="455">
        <f t="shared" si="255"/>
        <v>0</v>
      </c>
      <c r="T631" s="455">
        <f t="shared" si="255"/>
        <v>0</v>
      </c>
      <c r="U631" s="455">
        <f t="shared" si="255"/>
        <v>0</v>
      </c>
      <c r="V631" s="455">
        <f t="shared" si="255"/>
        <v>0</v>
      </c>
      <c r="W631" s="350">
        <f t="shared" si="255"/>
        <v>0</v>
      </c>
      <c r="X631" s="349">
        <f t="shared" si="255"/>
        <v>750</v>
      </c>
      <c r="Y631" s="455">
        <f t="shared" si="255"/>
        <v>4733</v>
      </c>
      <c r="Z631" s="455">
        <f t="shared" si="255"/>
        <v>0</v>
      </c>
      <c r="AA631" s="455">
        <f t="shared" si="255"/>
        <v>0</v>
      </c>
      <c r="AB631" s="455">
        <f t="shared" si="255"/>
        <v>0</v>
      </c>
      <c r="AC631" s="455">
        <f t="shared" si="255"/>
        <v>0</v>
      </c>
      <c r="AD631" s="455">
        <f t="shared" si="255"/>
        <v>0</v>
      </c>
      <c r="AE631" s="455">
        <f t="shared" si="255"/>
        <v>0</v>
      </c>
      <c r="AF631" s="350">
        <f t="shared" si="255"/>
        <v>0</v>
      </c>
      <c r="AG631" s="293"/>
      <c r="AH631" s="293"/>
      <c r="AI631" s="293"/>
      <c r="AJ631" s="293"/>
      <c r="AK631" s="293"/>
      <c r="AL631" s="293"/>
      <c r="AM631" s="293"/>
      <c r="AN631" s="293"/>
      <c r="AO631" s="293"/>
      <c r="AP631" s="293"/>
      <c r="AQ631" s="293"/>
      <c r="AR631" s="293"/>
      <c r="AS631" s="293"/>
      <c r="AT631" s="293"/>
      <c r="AU631" s="293"/>
      <c r="AV631" s="293"/>
      <c r="AW631" s="293"/>
      <c r="AX631" s="293"/>
      <c r="AY631" s="293"/>
      <c r="AZ631" s="293"/>
      <c r="BA631" s="293"/>
      <c r="BB631" s="293"/>
      <c r="BC631" s="293"/>
      <c r="BD631" s="293"/>
      <c r="BE631" s="293"/>
      <c r="BF631" s="293"/>
      <c r="BG631" s="293"/>
      <c r="BH631" s="293"/>
      <c r="BI631" s="293"/>
      <c r="BJ631" s="293"/>
      <c r="BK631" s="293"/>
      <c r="BL631" s="293"/>
      <c r="BM631" s="293"/>
      <c r="BN631" s="293"/>
      <c r="BO631" s="293"/>
      <c r="BP631" s="293"/>
      <c r="BQ631" s="293"/>
      <c r="BR631" s="293"/>
      <c r="BS631" s="293"/>
      <c r="BT631" s="293"/>
      <c r="BU631" s="293"/>
      <c r="BV631" s="293"/>
      <c r="BW631" s="293"/>
      <c r="BX631" s="293"/>
      <c r="BY631" s="293"/>
      <c r="BZ631" s="293"/>
      <c r="CA631" s="293"/>
      <c r="CB631" s="293"/>
      <c r="CC631" s="293"/>
      <c r="CD631" s="293"/>
      <c r="CE631" s="293"/>
      <c r="CF631" s="293"/>
      <c r="CG631" s="293"/>
      <c r="CH631" s="293"/>
      <c r="CI631" s="293"/>
      <c r="CJ631" s="293"/>
      <c r="CK631" s="293"/>
      <c r="CL631" s="293"/>
      <c r="CM631" s="293"/>
      <c r="CN631" s="293"/>
      <c r="CO631" s="293"/>
      <c r="CP631" s="293"/>
      <c r="CQ631" s="293"/>
      <c r="CR631" s="293"/>
      <c r="CS631" s="293"/>
      <c r="CT631" s="293"/>
      <c r="CU631" s="293"/>
      <c r="CV631" s="293"/>
      <c r="CW631" s="293"/>
      <c r="CX631" s="293"/>
      <c r="CY631" s="293"/>
    </row>
    <row r="632" spans="1:103" outlineLevel="1" x14ac:dyDescent="0.25">
      <c r="A632" s="352" t="s">
        <v>484</v>
      </c>
      <c r="B632" s="475" t="s">
        <v>248</v>
      </c>
      <c r="C632" s="431">
        <v>4683.83</v>
      </c>
      <c r="D632" s="119">
        <f>+J632</f>
        <v>4733</v>
      </c>
      <c r="E632" s="110">
        <v>4785.26</v>
      </c>
      <c r="F632" s="119">
        <f>+L632</f>
        <v>4733</v>
      </c>
      <c r="G632" s="294">
        <f t="shared" si="248"/>
        <v>1</v>
      </c>
      <c r="H632" s="490">
        <f>+F632/C632</f>
        <v>1.0104978190924949</v>
      </c>
      <c r="I632" s="290"/>
      <c r="J632" s="119">
        <f t="shared" si="254"/>
        <v>4733</v>
      </c>
      <c r="K632" s="290"/>
      <c r="L632" s="290">
        <f t="shared" si="231"/>
        <v>4733</v>
      </c>
      <c r="M632" s="354">
        <f>+J632/L632</f>
        <v>1</v>
      </c>
      <c r="N632" s="353"/>
      <c r="O632" s="431"/>
      <c r="P632" s="119">
        <v>4733</v>
      </c>
      <c r="Q632" s="119"/>
      <c r="R632" s="119"/>
      <c r="S632" s="119"/>
      <c r="T632" s="119"/>
      <c r="U632" s="119"/>
      <c r="V632" s="119"/>
      <c r="W632" s="356"/>
      <c r="X632" s="290"/>
      <c r="Y632" s="119">
        <v>4733</v>
      </c>
      <c r="Z632" s="119"/>
      <c r="AA632" s="119"/>
      <c r="AB632" s="119"/>
      <c r="AC632" s="119"/>
      <c r="AD632" s="119"/>
      <c r="AE632" s="355"/>
      <c r="AF632" s="356"/>
    </row>
    <row r="633" spans="1:103" outlineLevel="1" x14ac:dyDescent="0.25">
      <c r="A633" s="352" t="s">
        <v>485</v>
      </c>
      <c r="B633" s="475" t="s">
        <v>837</v>
      </c>
      <c r="C633" s="431">
        <v>563.33000000000004</v>
      </c>
      <c r="D633" s="525">
        <f>+J633</f>
        <v>0</v>
      </c>
      <c r="E633" s="110">
        <v>596.20000000000005</v>
      </c>
      <c r="F633" s="119">
        <f>+L633</f>
        <v>750</v>
      </c>
      <c r="G633" s="294">
        <f t="shared" si="248"/>
        <v>0</v>
      </c>
      <c r="H633" s="490">
        <f>+F633/C633</f>
        <v>1.3313688246676014</v>
      </c>
      <c r="I633" s="290"/>
      <c r="J633" s="119">
        <f t="shared" si="254"/>
        <v>0</v>
      </c>
      <c r="K633" s="290"/>
      <c r="L633" s="290">
        <f t="shared" si="231"/>
        <v>750</v>
      </c>
      <c r="M633" s="354">
        <f>+J633/L633</f>
        <v>0</v>
      </c>
      <c r="N633" s="353"/>
      <c r="O633" s="524"/>
      <c r="P633" s="119"/>
      <c r="Q633" s="119"/>
      <c r="R633" s="119"/>
      <c r="S633" s="119"/>
      <c r="T633" s="119"/>
      <c r="U633" s="119"/>
      <c r="V633" s="119"/>
      <c r="W633" s="356"/>
      <c r="X633" s="290">
        <v>750</v>
      </c>
      <c r="Y633" s="119"/>
      <c r="Z633" s="119"/>
      <c r="AA633" s="119"/>
      <c r="AB633" s="119"/>
      <c r="AC633" s="119"/>
      <c r="AD633" s="119"/>
      <c r="AE633" s="355"/>
      <c r="AF633" s="356"/>
    </row>
    <row r="634" spans="1:103" outlineLevel="1" x14ac:dyDescent="0.25">
      <c r="A634" s="352" t="s">
        <v>1149</v>
      </c>
      <c r="B634" s="475" t="s">
        <v>47</v>
      </c>
      <c r="C634" s="431"/>
      <c r="D634" s="119">
        <f>+J634</f>
        <v>0</v>
      </c>
      <c r="E634" s="110"/>
      <c r="F634" s="119">
        <f>+L634</f>
        <v>0</v>
      </c>
      <c r="G634" s="294"/>
      <c r="H634" s="490"/>
      <c r="I634" s="290"/>
      <c r="J634" s="119">
        <f t="shared" si="254"/>
        <v>0</v>
      </c>
      <c r="K634" s="290"/>
      <c r="L634" s="290">
        <f t="shared" si="231"/>
        <v>0</v>
      </c>
      <c r="M634" s="354"/>
      <c r="N634" s="353"/>
      <c r="O634" s="431"/>
      <c r="P634" s="119"/>
      <c r="Q634" s="119"/>
      <c r="R634" s="119"/>
      <c r="S634" s="119"/>
      <c r="T634" s="119"/>
      <c r="U634" s="119"/>
      <c r="V634" s="119"/>
      <c r="W634" s="356"/>
      <c r="X634" s="290"/>
      <c r="Y634" s="119"/>
      <c r="Z634" s="119"/>
      <c r="AA634" s="119"/>
      <c r="AB634" s="119"/>
      <c r="AC634" s="119"/>
      <c r="AD634" s="119"/>
      <c r="AE634" s="355"/>
      <c r="AF634" s="356"/>
    </row>
    <row r="635" spans="1:103" s="351" customFormat="1" ht="15.75" x14ac:dyDescent="0.25">
      <c r="A635" s="345" t="s">
        <v>487</v>
      </c>
      <c r="B635" s="474" t="s">
        <v>666</v>
      </c>
      <c r="C635" s="430">
        <f>+C636+C637</f>
        <v>754.12</v>
      </c>
      <c r="D635" s="455">
        <f>+D636+D637</f>
        <v>1700</v>
      </c>
      <c r="E635" s="274">
        <f>+E636+E637</f>
        <v>457.86</v>
      </c>
      <c r="F635" s="455">
        <f>+F636+F637</f>
        <v>444</v>
      </c>
      <c r="G635" s="292">
        <f t="shared" si="248"/>
        <v>3.8288288288288288</v>
      </c>
      <c r="H635" s="489">
        <f>+F635/C635</f>
        <v>0.58876571367952046</v>
      </c>
      <c r="I635" s="349"/>
      <c r="J635" s="347">
        <f>+J636+J637</f>
        <v>1700</v>
      </c>
      <c r="K635" s="291"/>
      <c r="L635" s="291">
        <f t="shared" si="231"/>
        <v>1000</v>
      </c>
      <c r="M635" s="348">
        <f>+J635/L635</f>
        <v>1.7</v>
      </c>
      <c r="N635" s="392"/>
      <c r="O635" s="430">
        <f>+O636+O637</f>
        <v>700</v>
      </c>
      <c r="P635" s="455">
        <f t="shared" ref="P635:W635" si="256">SUM(P636:P637)</f>
        <v>1000</v>
      </c>
      <c r="Q635" s="455">
        <f t="shared" si="256"/>
        <v>0</v>
      </c>
      <c r="R635" s="455">
        <f t="shared" si="256"/>
        <v>0</v>
      </c>
      <c r="S635" s="455">
        <f t="shared" si="256"/>
        <v>0</v>
      </c>
      <c r="T635" s="455">
        <f t="shared" si="256"/>
        <v>0</v>
      </c>
      <c r="U635" s="455">
        <f t="shared" si="256"/>
        <v>0</v>
      </c>
      <c r="V635" s="455">
        <f t="shared" si="256"/>
        <v>0</v>
      </c>
      <c r="W635" s="350">
        <f t="shared" si="256"/>
        <v>0</v>
      </c>
      <c r="X635" s="349">
        <f>SUM(X636:X637)</f>
        <v>0</v>
      </c>
      <c r="Y635" s="349">
        <f t="shared" ref="Y635:AF635" si="257">SUM(Y636:Y637)</f>
        <v>1000</v>
      </c>
      <c r="Z635" s="349">
        <f t="shared" si="257"/>
        <v>0</v>
      </c>
      <c r="AA635" s="349">
        <f t="shared" si="257"/>
        <v>0</v>
      </c>
      <c r="AB635" s="349">
        <f t="shared" si="257"/>
        <v>0</v>
      </c>
      <c r="AC635" s="349">
        <f t="shared" si="257"/>
        <v>0</v>
      </c>
      <c r="AD635" s="349">
        <f t="shared" si="257"/>
        <v>0</v>
      </c>
      <c r="AE635" s="349">
        <f t="shared" si="257"/>
        <v>0</v>
      </c>
      <c r="AF635" s="359">
        <f t="shared" si="257"/>
        <v>0</v>
      </c>
      <c r="AG635" s="293"/>
      <c r="AH635" s="293"/>
      <c r="AI635" s="293"/>
      <c r="AJ635" s="293"/>
      <c r="AK635" s="293"/>
      <c r="AL635" s="293"/>
      <c r="AM635" s="293"/>
      <c r="AN635" s="293"/>
      <c r="AO635" s="293"/>
      <c r="AP635" s="293"/>
      <c r="AQ635" s="293"/>
      <c r="AR635" s="293"/>
      <c r="AS635" s="293"/>
      <c r="AT635" s="293"/>
      <c r="AU635" s="293"/>
      <c r="AV635" s="293"/>
      <c r="AW635" s="293"/>
      <c r="AX635" s="293"/>
      <c r="AY635" s="293"/>
      <c r="AZ635" s="293"/>
      <c r="BA635" s="293"/>
      <c r="BB635" s="293"/>
      <c r="BC635" s="293"/>
      <c r="BD635" s="293"/>
      <c r="BE635" s="293"/>
      <c r="BF635" s="293"/>
      <c r="BG635" s="293"/>
      <c r="BH635" s="293"/>
      <c r="BI635" s="293"/>
      <c r="BJ635" s="293"/>
      <c r="BK635" s="293"/>
      <c r="BL635" s="293"/>
      <c r="BM635" s="293"/>
      <c r="BN635" s="293"/>
      <c r="BO635" s="293"/>
      <c r="BP635" s="293"/>
      <c r="BQ635" s="293"/>
      <c r="BR635" s="293"/>
      <c r="BS635" s="293"/>
      <c r="BT635" s="293"/>
      <c r="BU635" s="293"/>
      <c r="BV635" s="293"/>
      <c r="BW635" s="293"/>
      <c r="BX635" s="293"/>
      <c r="BY635" s="293"/>
      <c r="BZ635" s="293"/>
      <c r="CA635" s="293"/>
      <c r="CB635" s="293"/>
      <c r="CC635" s="293"/>
      <c r="CD635" s="293"/>
      <c r="CE635" s="293"/>
      <c r="CF635" s="293"/>
      <c r="CG635" s="293"/>
      <c r="CH635" s="293"/>
      <c r="CI635" s="293"/>
      <c r="CJ635" s="293"/>
      <c r="CK635" s="293"/>
      <c r="CL635" s="293"/>
      <c r="CM635" s="293"/>
      <c r="CN635" s="293"/>
      <c r="CO635" s="293"/>
      <c r="CP635" s="293"/>
      <c r="CQ635" s="293"/>
      <c r="CR635" s="293"/>
      <c r="CS635" s="293"/>
      <c r="CT635" s="293"/>
      <c r="CU635" s="293"/>
      <c r="CV635" s="293"/>
      <c r="CW635" s="293"/>
      <c r="CX635" s="293"/>
      <c r="CY635" s="293"/>
    </row>
    <row r="636" spans="1:103" outlineLevel="1" x14ac:dyDescent="0.25">
      <c r="A636" s="352" t="s">
        <v>488</v>
      </c>
      <c r="B636" s="475" t="s">
        <v>1150</v>
      </c>
      <c r="C636" s="431">
        <v>667.46</v>
      </c>
      <c r="D636" s="525">
        <f>+J636</f>
        <v>1700</v>
      </c>
      <c r="E636" s="110">
        <v>457.86</v>
      </c>
      <c r="F636" s="119">
        <v>444</v>
      </c>
      <c r="G636" s="294">
        <f t="shared" si="248"/>
        <v>3.8288288288288288</v>
      </c>
      <c r="H636" s="490">
        <f>+F636/C636</f>
        <v>0.66520840200161802</v>
      </c>
      <c r="I636" s="290"/>
      <c r="J636" s="119">
        <f t="shared" si="254"/>
        <v>1700</v>
      </c>
      <c r="K636" s="290"/>
      <c r="L636" s="290">
        <f t="shared" si="231"/>
        <v>1000</v>
      </c>
      <c r="M636" s="354">
        <f>+J636/L636</f>
        <v>1.7</v>
      </c>
      <c r="N636" s="353"/>
      <c r="O636" s="524">
        <v>700</v>
      </c>
      <c r="P636" s="119">
        <v>1000</v>
      </c>
      <c r="Q636" s="119"/>
      <c r="R636" s="119"/>
      <c r="S636" s="119"/>
      <c r="T636" s="119"/>
      <c r="U636" s="119"/>
      <c r="V636" s="119"/>
      <c r="W636" s="356"/>
      <c r="X636" s="290"/>
      <c r="Y636" s="119">
        <v>1000</v>
      </c>
      <c r="Z636" s="119"/>
      <c r="AA636" s="119"/>
      <c r="AB636" s="119"/>
      <c r="AC636" s="119"/>
      <c r="AD636" s="119"/>
      <c r="AE636" s="355"/>
      <c r="AF636" s="356"/>
    </row>
    <row r="637" spans="1:103" outlineLevel="1" x14ac:dyDescent="0.25">
      <c r="A637" s="352" t="s">
        <v>1151</v>
      </c>
      <c r="B637" s="475" t="s">
        <v>47</v>
      </c>
      <c r="C637" s="431">
        <v>86.66</v>
      </c>
      <c r="D637" s="119"/>
      <c r="E637" s="110">
        <v>0</v>
      </c>
      <c r="F637" s="119"/>
      <c r="G637" s="294"/>
      <c r="H637" s="490">
        <f>+F637/C637</f>
        <v>0</v>
      </c>
      <c r="I637" s="290"/>
      <c r="J637" s="119">
        <f t="shared" si="254"/>
        <v>0</v>
      </c>
      <c r="K637" s="290"/>
      <c r="L637" s="290">
        <f t="shared" si="231"/>
        <v>0</v>
      </c>
      <c r="M637" s="354"/>
      <c r="N637" s="353"/>
      <c r="O637" s="431"/>
      <c r="P637" s="119"/>
      <c r="Q637" s="119"/>
      <c r="R637" s="119"/>
      <c r="S637" s="119"/>
      <c r="T637" s="119"/>
      <c r="U637" s="119"/>
      <c r="V637" s="119"/>
      <c r="W637" s="356"/>
      <c r="X637" s="290"/>
      <c r="Y637" s="119"/>
      <c r="Z637" s="119"/>
      <c r="AA637" s="119"/>
      <c r="AB637" s="119"/>
      <c r="AC637" s="119"/>
      <c r="AD637" s="119"/>
      <c r="AE637" s="355"/>
      <c r="AF637" s="356"/>
    </row>
    <row r="638" spans="1:103" s="351" customFormat="1" ht="15.75" x14ac:dyDescent="0.25">
      <c r="A638" s="345" t="s">
        <v>489</v>
      </c>
      <c r="B638" s="474" t="s">
        <v>250</v>
      </c>
      <c r="C638" s="430">
        <f>+C639+C641+C640</f>
        <v>474.22</v>
      </c>
      <c r="D638" s="455">
        <f>+D639+D641+D640</f>
        <v>1000</v>
      </c>
      <c r="E638" s="274">
        <f>+E639+E641+E640</f>
        <v>894.23</v>
      </c>
      <c r="F638" s="455">
        <f>+F639+F641+F640</f>
        <v>1000</v>
      </c>
      <c r="G638" s="292">
        <f t="shared" si="248"/>
        <v>1</v>
      </c>
      <c r="H638" s="489">
        <f>+F638/C638</f>
        <v>2.108725907806503</v>
      </c>
      <c r="I638" s="349"/>
      <c r="J638" s="347">
        <f>+J639+J640+J641</f>
        <v>1000</v>
      </c>
      <c r="K638" s="291"/>
      <c r="L638" s="291">
        <f t="shared" si="231"/>
        <v>1000</v>
      </c>
      <c r="M638" s="348">
        <f>+J638/L638</f>
        <v>1</v>
      </c>
      <c r="N638" s="392"/>
      <c r="O638" s="430">
        <f>+O639+O640+O641</f>
        <v>1000</v>
      </c>
      <c r="P638" s="455">
        <f t="shared" ref="P638:AF638" si="258">SUM(P639:P641)</f>
        <v>0</v>
      </c>
      <c r="Q638" s="455">
        <f t="shared" si="258"/>
        <v>0</v>
      </c>
      <c r="R638" s="455">
        <f t="shared" si="258"/>
        <v>0</v>
      </c>
      <c r="S638" s="455">
        <f t="shared" si="258"/>
        <v>0</v>
      </c>
      <c r="T638" s="455">
        <f t="shared" si="258"/>
        <v>0</v>
      </c>
      <c r="U638" s="455">
        <f t="shared" si="258"/>
        <v>0</v>
      </c>
      <c r="V638" s="455">
        <f t="shared" si="258"/>
        <v>0</v>
      </c>
      <c r="W638" s="350">
        <f t="shared" si="258"/>
        <v>0</v>
      </c>
      <c r="X638" s="349">
        <f t="shared" si="258"/>
        <v>1000</v>
      </c>
      <c r="Y638" s="455">
        <f t="shared" si="258"/>
        <v>0</v>
      </c>
      <c r="Z638" s="455">
        <f t="shared" si="258"/>
        <v>0</v>
      </c>
      <c r="AA638" s="455">
        <f t="shared" si="258"/>
        <v>0</v>
      </c>
      <c r="AB638" s="455">
        <f t="shared" si="258"/>
        <v>0</v>
      </c>
      <c r="AC638" s="455">
        <f t="shared" si="258"/>
        <v>0</v>
      </c>
      <c r="AD638" s="455">
        <f t="shared" si="258"/>
        <v>0</v>
      </c>
      <c r="AE638" s="455">
        <f t="shared" si="258"/>
        <v>0</v>
      </c>
      <c r="AF638" s="350">
        <f t="shared" si="258"/>
        <v>0</v>
      </c>
      <c r="AG638" s="293"/>
      <c r="AH638" s="293"/>
      <c r="AI638" s="293"/>
      <c r="AJ638" s="293"/>
      <c r="AK638" s="293"/>
      <c r="AL638" s="293"/>
      <c r="AM638" s="293"/>
      <c r="AN638" s="293"/>
      <c r="AO638" s="293"/>
      <c r="AP638" s="293"/>
      <c r="AQ638" s="293"/>
      <c r="AR638" s="293"/>
      <c r="AS638" s="293"/>
      <c r="AT638" s="293"/>
      <c r="AU638" s="293"/>
      <c r="AV638" s="293"/>
      <c r="AW638" s="293"/>
      <c r="AX638" s="293"/>
      <c r="AY638" s="293"/>
      <c r="AZ638" s="293"/>
      <c r="BA638" s="293"/>
      <c r="BB638" s="293"/>
      <c r="BC638" s="293"/>
      <c r="BD638" s="293"/>
      <c r="BE638" s="293"/>
      <c r="BF638" s="293"/>
      <c r="BG638" s="293"/>
      <c r="BH638" s="293"/>
      <c r="BI638" s="293"/>
      <c r="BJ638" s="293"/>
      <c r="BK638" s="293"/>
      <c r="BL638" s="293"/>
      <c r="BM638" s="293"/>
      <c r="BN638" s="293"/>
      <c r="BO638" s="293"/>
      <c r="BP638" s="293"/>
      <c r="BQ638" s="293"/>
      <c r="BR638" s="293"/>
      <c r="BS638" s="293"/>
      <c r="BT638" s="293"/>
      <c r="BU638" s="293"/>
      <c r="BV638" s="293"/>
      <c r="BW638" s="293"/>
      <c r="BX638" s="293"/>
      <c r="BY638" s="293"/>
      <c r="BZ638" s="293"/>
      <c r="CA638" s="293"/>
      <c r="CB638" s="293"/>
      <c r="CC638" s="293"/>
      <c r="CD638" s="293"/>
      <c r="CE638" s="293"/>
      <c r="CF638" s="293"/>
      <c r="CG638" s="293"/>
      <c r="CH638" s="293"/>
      <c r="CI638" s="293"/>
      <c r="CJ638" s="293"/>
      <c r="CK638" s="293"/>
      <c r="CL638" s="293"/>
      <c r="CM638" s="293"/>
      <c r="CN638" s="293"/>
      <c r="CO638" s="293"/>
      <c r="CP638" s="293"/>
      <c r="CQ638" s="293"/>
      <c r="CR638" s="293"/>
      <c r="CS638" s="293"/>
      <c r="CT638" s="293"/>
      <c r="CU638" s="293"/>
      <c r="CV638" s="293"/>
      <c r="CW638" s="293"/>
      <c r="CX638" s="293"/>
      <c r="CY638" s="293"/>
    </row>
    <row r="639" spans="1:103" outlineLevel="1" x14ac:dyDescent="0.25">
      <c r="A639" s="352" t="s">
        <v>490</v>
      </c>
      <c r="B639" s="475" t="s">
        <v>861</v>
      </c>
      <c r="C639" s="431">
        <v>420.94</v>
      </c>
      <c r="D639" s="119">
        <f>+J639</f>
        <v>0</v>
      </c>
      <c r="E639" s="110"/>
      <c r="F639" s="119">
        <f>+L639</f>
        <v>0</v>
      </c>
      <c r="G639" s="294"/>
      <c r="H639" s="490">
        <f>+F639/C639</f>
        <v>0</v>
      </c>
      <c r="I639" s="290"/>
      <c r="J639" s="119">
        <f t="shared" si="254"/>
        <v>0</v>
      </c>
      <c r="K639" s="290"/>
      <c r="L639" s="290">
        <f t="shared" si="231"/>
        <v>0</v>
      </c>
      <c r="M639" s="354"/>
      <c r="N639" s="353"/>
      <c r="O639" s="431"/>
      <c r="P639" s="119"/>
      <c r="Q639" s="119"/>
      <c r="R639" s="119"/>
      <c r="S639" s="119"/>
      <c r="T639" s="119"/>
      <c r="U639" s="119"/>
      <c r="V639" s="119"/>
      <c r="W639" s="356"/>
      <c r="X639" s="290"/>
      <c r="Y639" s="119"/>
      <c r="Z639" s="119"/>
      <c r="AA639" s="119"/>
      <c r="AB639" s="119"/>
      <c r="AC639" s="119"/>
      <c r="AD639" s="119"/>
      <c r="AE639" s="355"/>
      <c r="AF639" s="356"/>
    </row>
    <row r="640" spans="1:103" outlineLevel="1" x14ac:dyDescent="0.25">
      <c r="A640" s="352" t="s">
        <v>491</v>
      </c>
      <c r="B640" s="475" t="s">
        <v>1355</v>
      </c>
      <c r="C640" s="431"/>
      <c r="D640" s="119">
        <f>+J640</f>
        <v>1000</v>
      </c>
      <c r="E640" s="110">
        <v>852.77</v>
      </c>
      <c r="F640" s="119">
        <f>+L640</f>
        <v>1000</v>
      </c>
      <c r="G640" s="294">
        <f t="shared" si="248"/>
        <v>1</v>
      </c>
      <c r="H640" s="490"/>
      <c r="I640" s="290"/>
      <c r="J640" s="119">
        <f t="shared" si="254"/>
        <v>1000</v>
      </c>
      <c r="K640" s="290"/>
      <c r="L640" s="290">
        <f t="shared" si="231"/>
        <v>1000</v>
      </c>
      <c r="M640" s="354">
        <f>+J640/L640</f>
        <v>1</v>
      </c>
      <c r="N640" s="353"/>
      <c r="O640" s="431">
        <f>+X640</f>
        <v>1000</v>
      </c>
      <c r="P640" s="119"/>
      <c r="Q640" s="119"/>
      <c r="R640" s="119"/>
      <c r="S640" s="119"/>
      <c r="T640" s="119"/>
      <c r="U640" s="119"/>
      <c r="V640" s="119"/>
      <c r="W640" s="356"/>
      <c r="X640" s="290">
        <v>1000</v>
      </c>
      <c r="Y640" s="119"/>
      <c r="Z640" s="119"/>
      <c r="AA640" s="119"/>
      <c r="AB640" s="119"/>
      <c r="AC640" s="119"/>
      <c r="AD640" s="119"/>
      <c r="AE640" s="355"/>
      <c r="AF640" s="356"/>
    </row>
    <row r="641" spans="1:103" outlineLevel="1" x14ac:dyDescent="0.25">
      <c r="A641" s="352" t="s">
        <v>1152</v>
      </c>
      <c r="B641" s="475" t="s">
        <v>47</v>
      </c>
      <c r="C641" s="431">
        <v>53.28</v>
      </c>
      <c r="D641" s="119"/>
      <c r="E641" s="110">
        <v>41.46</v>
      </c>
      <c r="F641" s="119"/>
      <c r="G641" s="294"/>
      <c r="H641" s="490">
        <f>+F641/C641</f>
        <v>0</v>
      </c>
      <c r="I641" s="290"/>
      <c r="J641" s="119">
        <f t="shared" si="254"/>
        <v>0</v>
      </c>
      <c r="K641" s="290"/>
      <c r="L641" s="290">
        <f t="shared" si="231"/>
        <v>0</v>
      </c>
      <c r="M641" s="354"/>
      <c r="N641" s="353"/>
      <c r="O641" s="431"/>
      <c r="P641" s="119"/>
      <c r="Q641" s="119"/>
      <c r="R641" s="119"/>
      <c r="S641" s="119"/>
      <c r="T641" s="119"/>
      <c r="U641" s="119"/>
      <c r="V641" s="119"/>
      <c r="W641" s="356"/>
      <c r="X641" s="290"/>
      <c r="Y641" s="119"/>
      <c r="Z641" s="119"/>
      <c r="AA641" s="119"/>
      <c r="AB641" s="119"/>
      <c r="AC641" s="119"/>
      <c r="AD641" s="119"/>
      <c r="AE641" s="355"/>
      <c r="AF641" s="356"/>
    </row>
    <row r="642" spans="1:103" s="351" customFormat="1" ht="15.75" x14ac:dyDescent="0.25">
      <c r="A642" s="345" t="s">
        <v>492</v>
      </c>
      <c r="B642" s="474" t="s">
        <v>495</v>
      </c>
      <c r="C642" s="430">
        <f>+C643</f>
        <v>600</v>
      </c>
      <c r="D642" s="455">
        <f>+D643</f>
        <v>600</v>
      </c>
      <c r="E642" s="274">
        <f>+E643</f>
        <v>600</v>
      </c>
      <c r="F642" s="455">
        <f>+F643</f>
        <v>600</v>
      </c>
      <c r="G642" s="292">
        <f t="shared" si="248"/>
        <v>1</v>
      </c>
      <c r="H642" s="489">
        <f>+F642/C642</f>
        <v>1</v>
      </c>
      <c r="I642" s="349"/>
      <c r="J642" s="347">
        <f t="shared" si="254"/>
        <v>600</v>
      </c>
      <c r="K642" s="291"/>
      <c r="L642" s="291">
        <f t="shared" ref="L642:L697" si="259">+X642+Y642+Z642+AA642+AB642+AC642+AD642+AE642+AF642</f>
        <v>600</v>
      </c>
      <c r="M642" s="348">
        <f>+J642/L642</f>
        <v>1</v>
      </c>
      <c r="N642" s="392"/>
      <c r="O642" s="430">
        <f>+O643</f>
        <v>0</v>
      </c>
      <c r="P642" s="455">
        <f t="shared" ref="P642:AF642" si="260">SUM(P643:P643)</f>
        <v>600</v>
      </c>
      <c r="Q642" s="455">
        <f t="shared" si="260"/>
        <v>0</v>
      </c>
      <c r="R642" s="455">
        <f t="shared" si="260"/>
        <v>0</v>
      </c>
      <c r="S642" s="455">
        <f t="shared" si="260"/>
        <v>0</v>
      </c>
      <c r="T642" s="455">
        <f t="shared" si="260"/>
        <v>0</v>
      </c>
      <c r="U642" s="455">
        <f t="shared" si="260"/>
        <v>0</v>
      </c>
      <c r="V642" s="455">
        <f t="shared" si="260"/>
        <v>0</v>
      </c>
      <c r="W642" s="350">
        <f t="shared" si="260"/>
        <v>0</v>
      </c>
      <c r="X642" s="349">
        <f t="shared" si="260"/>
        <v>0</v>
      </c>
      <c r="Y642" s="455">
        <f t="shared" si="260"/>
        <v>600</v>
      </c>
      <c r="Z642" s="455">
        <f t="shared" si="260"/>
        <v>0</v>
      </c>
      <c r="AA642" s="455">
        <f t="shared" si="260"/>
        <v>0</v>
      </c>
      <c r="AB642" s="455">
        <f t="shared" si="260"/>
        <v>0</v>
      </c>
      <c r="AC642" s="455">
        <f t="shared" si="260"/>
        <v>0</v>
      </c>
      <c r="AD642" s="455">
        <f t="shared" si="260"/>
        <v>0</v>
      </c>
      <c r="AE642" s="455">
        <f t="shared" si="260"/>
        <v>0</v>
      </c>
      <c r="AF642" s="350">
        <f t="shared" si="260"/>
        <v>0</v>
      </c>
      <c r="AG642" s="293"/>
      <c r="AH642" s="293"/>
      <c r="AI642" s="293"/>
      <c r="AJ642" s="293"/>
      <c r="AK642" s="293"/>
      <c r="AL642" s="293"/>
      <c r="AM642" s="293"/>
      <c r="AN642" s="293"/>
      <c r="AO642" s="293"/>
      <c r="AP642" s="293"/>
      <c r="AQ642" s="293"/>
      <c r="AR642" s="293"/>
      <c r="AS642" s="293"/>
      <c r="AT642" s="293"/>
      <c r="AU642" s="293"/>
      <c r="AV642" s="293"/>
      <c r="AW642" s="293"/>
      <c r="AX642" s="293"/>
      <c r="AY642" s="293"/>
      <c r="AZ642" s="293"/>
      <c r="BA642" s="293"/>
      <c r="BB642" s="293"/>
      <c r="BC642" s="293"/>
      <c r="BD642" s="293"/>
      <c r="BE642" s="293"/>
      <c r="BF642" s="293"/>
      <c r="BG642" s="293"/>
      <c r="BH642" s="293"/>
      <c r="BI642" s="293"/>
      <c r="BJ642" s="293"/>
      <c r="BK642" s="293"/>
      <c r="BL642" s="293"/>
      <c r="BM642" s="293"/>
      <c r="BN642" s="293"/>
      <c r="BO642" s="293"/>
      <c r="BP642" s="293"/>
      <c r="BQ642" s="293"/>
      <c r="BR642" s="293"/>
      <c r="BS642" s="293"/>
      <c r="BT642" s="293"/>
      <c r="BU642" s="293"/>
      <c r="BV642" s="293"/>
      <c r="BW642" s="293"/>
      <c r="BX642" s="293"/>
      <c r="BY642" s="293"/>
      <c r="BZ642" s="293"/>
      <c r="CA642" s="293"/>
      <c r="CB642" s="293"/>
      <c r="CC642" s="293"/>
      <c r="CD642" s="293"/>
      <c r="CE642" s="293"/>
      <c r="CF642" s="293"/>
      <c r="CG642" s="293"/>
      <c r="CH642" s="293"/>
      <c r="CI642" s="293"/>
      <c r="CJ642" s="293"/>
      <c r="CK642" s="293"/>
      <c r="CL642" s="293"/>
      <c r="CM642" s="293"/>
      <c r="CN642" s="293"/>
      <c r="CO642" s="293"/>
      <c r="CP642" s="293"/>
      <c r="CQ642" s="293"/>
      <c r="CR642" s="293"/>
      <c r="CS642" s="293"/>
      <c r="CT642" s="293"/>
      <c r="CU642" s="293"/>
      <c r="CV642" s="293"/>
      <c r="CW642" s="293"/>
      <c r="CX642" s="293"/>
      <c r="CY642" s="293"/>
    </row>
    <row r="643" spans="1:103" outlineLevel="1" x14ac:dyDescent="0.25">
      <c r="A643" s="352" t="s">
        <v>493</v>
      </c>
      <c r="B643" s="475" t="s">
        <v>495</v>
      </c>
      <c r="C643" s="431">
        <v>600</v>
      </c>
      <c r="D643" s="119">
        <f>+J643</f>
        <v>600</v>
      </c>
      <c r="E643" s="110">
        <v>600</v>
      </c>
      <c r="F643" s="119">
        <f>+L643</f>
        <v>600</v>
      </c>
      <c r="G643" s="294">
        <f t="shared" si="248"/>
        <v>1</v>
      </c>
      <c r="H643" s="490">
        <f>+F643/C643</f>
        <v>1</v>
      </c>
      <c r="I643" s="290"/>
      <c r="J643" s="119">
        <f t="shared" si="254"/>
        <v>600</v>
      </c>
      <c r="K643" s="290"/>
      <c r="L643" s="290">
        <f t="shared" si="259"/>
        <v>600</v>
      </c>
      <c r="M643" s="354">
        <f>+J643/L643</f>
        <v>1</v>
      </c>
      <c r="N643" s="353"/>
      <c r="O643" s="431"/>
      <c r="P643" s="119">
        <v>600</v>
      </c>
      <c r="Q643" s="119"/>
      <c r="R643" s="119"/>
      <c r="S643" s="119"/>
      <c r="T643" s="119"/>
      <c r="U643" s="119"/>
      <c r="V643" s="119"/>
      <c r="W643" s="356"/>
      <c r="X643" s="290"/>
      <c r="Y643" s="119">
        <v>600</v>
      </c>
      <c r="Z643" s="119"/>
      <c r="AA643" s="119"/>
      <c r="AB643" s="119"/>
      <c r="AC643" s="119"/>
      <c r="AD643" s="119"/>
      <c r="AE643" s="355"/>
      <c r="AF643" s="356"/>
    </row>
    <row r="644" spans="1:103" s="344" customFormat="1" ht="21" x14ac:dyDescent="0.35">
      <c r="A644" s="338" t="s">
        <v>619</v>
      </c>
      <c r="B644" s="473" t="s">
        <v>477</v>
      </c>
      <c r="C644" s="429">
        <f>+C646+C651+C673+C692+C696</f>
        <v>58875.19</v>
      </c>
      <c r="D644" s="339">
        <f>+D646+D651+D673+D692+D696</f>
        <v>112106</v>
      </c>
      <c r="E644" s="501">
        <f>+E646+E651+E673+E692+E696</f>
        <v>88737.054000000004</v>
      </c>
      <c r="F644" s="339">
        <f>+F646+F651+F673+F692+F696</f>
        <v>103403.97</v>
      </c>
      <c r="G644" s="340">
        <f t="shared" si="248"/>
        <v>1.0841556663636802</v>
      </c>
      <c r="H644" s="488">
        <f>+F644/C644</f>
        <v>1.7563250326665611</v>
      </c>
      <c r="I644" s="288">
        <v>82186</v>
      </c>
      <c r="J644" s="339">
        <f t="shared" si="254"/>
        <v>118656</v>
      </c>
      <c r="K644" s="288">
        <v>94502.87</v>
      </c>
      <c r="L644" s="288">
        <f t="shared" si="259"/>
        <v>110107</v>
      </c>
      <c r="M644" s="342">
        <f>+J644/L644</f>
        <v>1.077642656688494</v>
      </c>
      <c r="N644" s="341">
        <f>+L644/I644</f>
        <v>1.3397293943007325</v>
      </c>
      <c r="O644" s="429">
        <f t="shared" ref="O644:AD644" si="261">O646+O651+O673+O692+O696</f>
        <v>6875</v>
      </c>
      <c r="P644" s="339">
        <f t="shared" si="261"/>
        <v>111781</v>
      </c>
      <c r="Q644" s="339">
        <f t="shared" si="261"/>
        <v>0</v>
      </c>
      <c r="R644" s="339">
        <f t="shared" si="261"/>
        <v>0</v>
      </c>
      <c r="S644" s="339">
        <f t="shared" si="261"/>
        <v>0</v>
      </c>
      <c r="T644" s="339">
        <f t="shared" si="261"/>
        <v>0</v>
      </c>
      <c r="U644" s="339">
        <f t="shared" si="261"/>
        <v>0</v>
      </c>
      <c r="V644" s="339">
        <f t="shared" si="261"/>
        <v>0</v>
      </c>
      <c r="W644" s="461">
        <f t="shared" si="261"/>
        <v>0</v>
      </c>
      <c r="X644" s="288">
        <f t="shared" si="261"/>
        <v>6625</v>
      </c>
      <c r="Y644" s="288">
        <f t="shared" si="261"/>
        <v>103482</v>
      </c>
      <c r="Z644" s="288">
        <f t="shared" si="261"/>
        <v>0</v>
      </c>
      <c r="AA644" s="288">
        <f t="shared" si="261"/>
        <v>0</v>
      </c>
      <c r="AB644" s="288">
        <f t="shared" si="261"/>
        <v>0</v>
      </c>
      <c r="AC644" s="288">
        <f t="shared" si="261"/>
        <v>0</v>
      </c>
      <c r="AD644" s="288">
        <f t="shared" si="261"/>
        <v>0</v>
      </c>
      <c r="AE644" s="288"/>
      <c r="AF644" s="289">
        <f>AF646+AF651+AF673+AF692+AF696</f>
        <v>0</v>
      </c>
      <c r="AG644" s="343"/>
      <c r="AH644" s="343"/>
      <c r="AI644" s="343"/>
      <c r="AJ644" s="343"/>
      <c r="AK644" s="343"/>
      <c r="AL644" s="343"/>
      <c r="AM644" s="343"/>
      <c r="AN644" s="343"/>
      <c r="AO644" s="343"/>
      <c r="AP644" s="343"/>
      <c r="AQ644" s="343"/>
      <c r="AR644" s="343"/>
      <c r="AS644" s="343"/>
      <c r="AT644" s="343"/>
      <c r="AU644" s="343"/>
      <c r="AV644" s="343"/>
      <c r="AW644" s="343"/>
      <c r="AX644" s="343"/>
      <c r="AY644" s="343"/>
      <c r="AZ644" s="343"/>
      <c r="BA644" s="343"/>
      <c r="BB644" s="343"/>
      <c r="BC644" s="343"/>
      <c r="BD644" s="343"/>
      <c r="BE644" s="343"/>
      <c r="BF644" s="343"/>
      <c r="BG644" s="343"/>
      <c r="BH644" s="343"/>
      <c r="BI644" s="343"/>
      <c r="BJ644" s="343"/>
      <c r="BK644" s="343"/>
      <c r="BL644" s="343"/>
      <c r="BM644" s="343"/>
      <c r="BN644" s="343"/>
      <c r="BO644" s="343"/>
      <c r="BP644" s="343"/>
      <c r="BQ644" s="343"/>
      <c r="BR644" s="343"/>
      <c r="BS644" s="343"/>
      <c r="BT644" s="343"/>
      <c r="BU644" s="343"/>
      <c r="BV644" s="343"/>
      <c r="BW644" s="343"/>
      <c r="BX644" s="343"/>
      <c r="BY644" s="343"/>
      <c r="BZ644" s="343"/>
      <c r="CA644" s="343"/>
      <c r="CB644" s="343"/>
      <c r="CC644" s="343"/>
      <c r="CD644" s="343"/>
      <c r="CE644" s="343"/>
      <c r="CF644" s="343"/>
      <c r="CG644" s="343"/>
      <c r="CH644" s="343"/>
      <c r="CI644" s="343"/>
      <c r="CJ644" s="343"/>
      <c r="CK644" s="343"/>
      <c r="CL644" s="343"/>
      <c r="CM644" s="343"/>
      <c r="CN644" s="343"/>
      <c r="CO644" s="343"/>
      <c r="CP644" s="343"/>
      <c r="CQ644" s="343"/>
      <c r="CR644" s="343"/>
      <c r="CS644" s="343"/>
      <c r="CT644" s="343"/>
      <c r="CU644" s="343"/>
      <c r="CV644" s="343"/>
      <c r="CW644" s="343"/>
      <c r="CX644" s="343"/>
      <c r="CY644" s="343"/>
    </row>
    <row r="645" spans="1:103" s="344" customFormat="1" ht="21" x14ac:dyDescent="0.35">
      <c r="A645" s="394"/>
      <c r="B645" s="479" t="s">
        <v>1343</v>
      </c>
      <c r="C645" s="433"/>
      <c r="D645" s="415"/>
      <c r="E645" s="507">
        <v>32156.78</v>
      </c>
      <c r="F645" s="415"/>
      <c r="G645" s="416"/>
      <c r="H645" s="495"/>
      <c r="I645" s="386">
        <v>-6844</v>
      </c>
      <c r="J645" s="383">
        <v>-32157</v>
      </c>
      <c r="K645" s="386"/>
      <c r="L645" s="386">
        <f>+J645</f>
        <v>-32157</v>
      </c>
      <c r="M645" s="395"/>
      <c r="N645" s="417"/>
      <c r="O645" s="434">
        <f>+X645</f>
        <v>0</v>
      </c>
      <c r="P645" s="415"/>
      <c r="Q645" s="415"/>
      <c r="R645" s="415"/>
      <c r="S645" s="415"/>
      <c r="T645" s="415"/>
      <c r="U645" s="415"/>
      <c r="V645" s="415"/>
      <c r="W645" s="521"/>
      <c r="X645" s="396"/>
      <c r="Y645" s="396"/>
      <c r="Z645" s="396"/>
      <c r="AA645" s="396"/>
      <c r="AB645" s="396"/>
      <c r="AC645" s="396"/>
      <c r="AD645" s="396"/>
      <c r="AE645" s="396"/>
      <c r="AF645" s="397"/>
      <c r="AG645" s="343"/>
      <c r="AH645" s="343"/>
      <c r="AI645" s="343"/>
      <c r="AJ645" s="343"/>
      <c r="AK645" s="343"/>
      <c r="AL645" s="343"/>
      <c r="AM645" s="343"/>
      <c r="AN645" s="343"/>
      <c r="AO645" s="343"/>
      <c r="AP645" s="343"/>
      <c r="AQ645" s="343"/>
      <c r="AR645" s="343"/>
      <c r="AS645" s="343"/>
      <c r="AT645" s="343"/>
      <c r="AU645" s="343"/>
      <c r="AV645" s="343"/>
      <c r="AW645" s="343"/>
      <c r="AX645" s="343"/>
      <c r="AY645" s="343"/>
      <c r="AZ645" s="343"/>
      <c r="BA645" s="343"/>
      <c r="BB645" s="343"/>
      <c r="BC645" s="343"/>
      <c r="BD645" s="343"/>
      <c r="BE645" s="343"/>
      <c r="BF645" s="343"/>
      <c r="BG645" s="343"/>
      <c r="BH645" s="343"/>
      <c r="BI645" s="343"/>
      <c r="BJ645" s="343"/>
      <c r="BK645" s="343"/>
      <c r="BL645" s="343"/>
      <c r="BM645" s="343"/>
      <c r="BN645" s="343"/>
      <c r="BO645" s="343"/>
      <c r="BP645" s="343"/>
      <c r="BQ645" s="343"/>
      <c r="BR645" s="343"/>
      <c r="BS645" s="343"/>
      <c r="BT645" s="343"/>
      <c r="BU645" s="343"/>
      <c r="BV645" s="343"/>
      <c r="BW645" s="343"/>
      <c r="BX645" s="343"/>
      <c r="BY645" s="343"/>
      <c r="BZ645" s="343"/>
      <c r="CA645" s="343"/>
      <c r="CB645" s="343"/>
      <c r="CC645" s="343"/>
      <c r="CD645" s="343"/>
      <c r="CE645" s="343"/>
      <c r="CF645" s="343"/>
      <c r="CG645" s="343"/>
      <c r="CH645" s="343"/>
      <c r="CI645" s="343"/>
      <c r="CJ645" s="343"/>
      <c r="CK645" s="343"/>
      <c r="CL645" s="343"/>
      <c r="CM645" s="343"/>
      <c r="CN645" s="343"/>
      <c r="CO645" s="343"/>
      <c r="CP645" s="343"/>
      <c r="CQ645" s="343"/>
      <c r="CR645" s="343"/>
      <c r="CS645" s="343"/>
      <c r="CT645" s="343"/>
      <c r="CU645" s="343"/>
      <c r="CV645" s="343"/>
      <c r="CW645" s="343"/>
      <c r="CX645" s="343"/>
      <c r="CY645" s="343"/>
    </row>
    <row r="646" spans="1:103" s="351" customFormat="1" ht="15.75" x14ac:dyDescent="0.25">
      <c r="A646" s="345" t="s">
        <v>620</v>
      </c>
      <c r="B646" s="474" t="s">
        <v>265</v>
      </c>
      <c r="C646" s="430">
        <f>+C647+C648+C649+C650</f>
        <v>1662.06</v>
      </c>
      <c r="D646" s="455">
        <f>+D647+D648+D649+D650</f>
        <v>1450</v>
      </c>
      <c r="E646" s="274">
        <f>+E647+E648+E649+E650</f>
        <v>1955.87</v>
      </c>
      <c r="F646" s="455">
        <f>+F647+F648+F649+F650</f>
        <v>1200</v>
      </c>
      <c r="G646" s="292">
        <f t="shared" si="248"/>
        <v>1.2083333333333333</v>
      </c>
      <c r="H646" s="489">
        <f t="shared" ref="H646:H652" si="262">+F646/C646</f>
        <v>0.72199559582686546</v>
      </c>
      <c r="I646" s="349"/>
      <c r="J646" s="347">
        <f>+J647+J648+J649+J650</f>
        <v>1450</v>
      </c>
      <c r="K646" s="291"/>
      <c r="L646" s="291">
        <f t="shared" si="259"/>
        <v>1200</v>
      </c>
      <c r="M646" s="348">
        <f t="shared" ref="M646:M652" si="263">+J646/L646</f>
        <v>1.2083333333333333</v>
      </c>
      <c r="N646" s="392"/>
      <c r="O646" s="430">
        <f>+O647+O648+O649+O650</f>
        <v>1250</v>
      </c>
      <c r="P646" s="455">
        <f>SUM(P647:P650)</f>
        <v>200</v>
      </c>
      <c r="Q646" s="455">
        <f>SUM(Q647:Q650)</f>
        <v>0</v>
      </c>
      <c r="R646" s="455">
        <f>SUM(R647:R650)</f>
        <v>0</v>
      </c>
      <c r="S646" s="455">
        <f>SUM(S647:S650)</f>
        <v>0</v>
      </c>
      <c r="T646" s="455">
        <f t="shared" ref="T646:AA646" si="264">SUM(T647:T650)</f>
        <v>0</v>
      </c>
      <c r="U646" s="455">
        <f t="shared" si="264"/>
        <v>0</v>
      </c>
      <c r="V646" s="455">
        <f t="shared" si="264"/>
        <v>0</v>
      </c>
      <c r="W646" s="350">
        <f t="shared" si="264"/>
        <v>0</v>
      </c>
      <c r="X646" s="349">
        <f t="shared" si="264"/>
        <v>1000</v>
      </c>
      <c r="Y646" s="455">
        <f t="shared" si="264"/>
        <v>200</v>
      </c>
      <c r="Z646" s="455">
        <f t="shared" si="264"/>
        <v>0</v>
      </c>
      <c r="AA646" s="455">
        <f t="shared" si="264"/>
        <v>0</v>
      </c>
      <c r="AB646" s="455">
        <f>SUM(AB647:AB650)</f>
        <v>0</v>
      </c>
      <c r="AC646" s="455">
        <f>SUM(AC647:AC650)</f>
        <v>0</v>
      </c>
      <c r="AD646" s="455">
        <f>SUM(AD647:AD650)</f>
        <v>0</v>
      </c>
      <c r="AE646" s="455">
        <f>SUM(AE647:AE650)</f>
        <v>0</v>
      </c>
      <c r="AF646" s="350">
        <f>SUM(AF647:AF650)</f>
        <v>0</v>
      </c>
      <c r="AG646" s="293"/>
      <c r="AH646" s="293"/>
      <c r="AI646" s="293"/>
      <c r="AJ646" s="293"/>
      <c r="AK646" s="293"/>
      <c r="AL646" s="293"/>
      <c r="AM646" s="293"/>
      <c r="AN646" s="293"/>
      <c r="AO646" s="293"/>
      <c r="AP646" s="293"/>
      <c r="AQ646" s="293"/>
      <c r="AR646" s="293"/>
      <c r="AS646" s="293"/>
      <c r="AT646" s="293"/>
      <c r="AU646" s="293"/>
      <c r="AV646" s="293"/>
      <c r="AW646" s="293"/>
      <c r="AX646" s="293"/>
      <c r="AY646" s="293"/>
      <c r="AZ646" s="293"/>
      <c r="BA646" s="293"/>
      <c r="BB646" s="293"/>
      <c r="BC646" s="293"/>
      <c r="BD646" s="293"/>
      <c r="BE646" s="293"/>
      <c r="BF646" s="293"/>
      <c r="BG646" s="293"/>
      <c r="BH646" s="293"/>
      <c r="BI646" s="293"/>
      <c r="BJ646" s="293"/>
      <c r="BK646" s="293"/>
      <c r="BL646" s="293"/>
      <c r="BM646" s="293"/>
      <c r="BN646" s="293"/>
      <c r="BO646" s="293"/>
      <c r="BP646" s="293"/>
      <c r="BQ646" s="293"/>
      <c r="BR646" s="293"/>
      <c r="BS646" s="293"/>
      <c r="BT646" s="293"/>
      <c r="BU646" s="293"/>
      <c r="BV646" s="293"/>
      <c r="BW646" s="293"/>
      <c r="BX646" s="293"/>
      <c r="BY646" s="293"/>
      <c r="BZ646" s="293"/>
      <c r="CA646" s="293"/>
      <c r="CB646" s="293"/>
      <c r="CC646" s="293"/>
      <c r="CD646" s="293"/>
      <c r="CE646" s="293"/>
      <c r="CF646" s="293"/>
      <c r="CG646" s="293"/>
      <c r="CH646" s="293"/>
      <c r="CI646" s="293"/>
      <c r="CJ646" s="293"/>
      <c r="CK646" s="293"/>
      <c r="CL646" s="293"/>
      <c r="CM646" s="293"/>
      <c r="CN646" s="293"/>
      <c r="CO646" s="293"/>
      <c r="CP646" s="293"/>
      <c r="CQ646" s="293"/>
      <c r="CR646" s="293"/>
      <c r="CS646" s="293"/>
      <c r="CT646" s="293"/>
      <c r="CU646" s="293"/>
      <c r="CV646" s="293"/>
      <c r="CW646" s="293"/>
      <c r="CX646" s="293"/>
      <c r="CY646" s="293"/>
    </row>
    <row r="647" spans="1:103" outlineLevel="1" x14ac:dyDescent="0.25">
      <c r="A647" s="358" t="s">
        <v>621</v>
      </c>
      <c r="B647" s="475" t="s">
        <v>281</v>
      </c>
      <c r="C647" s="431">
        <v>197.38</v>
      </c>
      <c r="D647" s="119">
        <v>450</v>
      </c>
      <c r="E647" s="110">
        <v>319.73</v>
      </c>
      <c r="F647" s="119">
        <f>+L647</f>
        <v>200</v>
      </c>
      <c r="G647" s="294">
        <f t="shared" si="248"/>
        <v>2.25</v>
      </c>
      <c r="H647" s="490">
        <f t="shared" si="262"/>
        <v>1.0132738879319081</v>
      </c>
      <c r="I647" s="290"/>
      <c r="J647" s="119">
        <f t="shared" ref="J647:J697" si="265">+O647+P647+Q647+R647+S647+T647+U647+V647+W647</f>
        <v>450</v>
      </c>
      <c r="K647" s="290"/>
      <c r="L647" s="290">
        <f t="shared" si="259"/>
        <v>200</v>
      </c>
      <c r="M647" s="354">
        <f t="shared" si="263"/>
        <v>2.25</v>
      </c>
      <c r="N647" s="353"/>
      <c r="O647" s="431">
        <v>450</v>
      </c>
      <c r="P647" s="119"/>
      <c r="Q647" s="119"/>
      <c r="R647" s="119"/>
      <c r="S647" s="119"/>
      <c r="T647" s="119"/>
      <c r="U647" s="119"/>
      <c r="V647" s="119"/>
      <c r="W647" s="356"/>
      <c r="X647" s="290">
        <v>200</v>
      </c>
      <c r="Y647" s="119"/>
      <c r="Z647" s="119"/>
      <c r="AA647" s="119"/>
      <c r="AB647" s="119"/>
      <c r="AC647" s="119"/>
      <c r="AD647" s="119"/>
      <c r="AE647" s="355"/>
      <c r="AF647" s="356"/>
    </row>
    <row r="648" spans="1:103" outlineLevel="1" x14ac:dyDescent="0.25">
      <c r="A648" s="352" t="s">
        <v>622</v>
      </c>
      <c r="B648" s="475" t="s">
        <v>309</v>
      </c>
      <c r="C648" s="431">
        <v>822.78</v>
      </c>
      <c r="D648" s="119">
        <v>400</v>
      </c>
      <c r="E648" s="110">
        <v>586.79999999999995</v>
      </c>
      <c r="F648" s="119">
        <f>+L648</f>
        <v>400</v>
      </c>
      <c r="G648" s="294">
        <f t="shared" si="248"/>
        <v>1</v>
      </c>
      <c r="H648" s="490">
        <f t="shared" si="262"/>
        <v>0.48615668830063929</v>
      </c>
      <c r="I648" s="290"/>
      <c r="J648" s="119">
        <f t="shared" si="265"/>
        <v>400</v>
      </c>
      <c r="K648" s="290"/>
      <c r="L648" s="290">
        <f t="shared" si="259"/>
        <v>400</v>
      </c>
      <c r="M648" s="354">
        <f t="shared" si="263"/>
        <v>1</v>
      </c>
      <c r="N648" s="353"/>
      <c r="O648" s="431">
        <f>+X648</f>
        <v>400</v>
      </c>
      <c r="P648" s="119"/>
      <c r="Q648" s="119"/>
      <c r="R648" s="119"/>
      <c r="S648" s="119"/>
      <c r="T648" s="119"/>
      <c r="U648" s="119"/>
      <c r="V648" s="119"/>
      <c r="W648" s="356"/>
      <c r="X648" s="290">
        <v>400</v>
      </c>
      <c r="Y648" s="119"/>
      <c r="Z648" s="119"/>
      <c r="AA648" s="119"/>
      <c r="AB648" s="119"/>
      <c r="AC648" s="119"/>
      <c r="AD648" s="119"/>
      <c r="AE648" s="355"/>
      <c r="AF648" s="356"/>
    </row>
    <row r="649" spans="1:103" outlineLevel="1" x14ac:dyDescent="0.25">
      <c r="A649" s="352" t="s">
        <v>623</v>
      </c>
      <c r="B649" s="475" t="s">
        <v>285</v>
      </c>
      <c r="C649" s="431">
        <v>314.82</v>
      </c>
      <c r="D649" s="119">
        <v>400</v>
      </c>
      <c r="E649" s="110">
        <v>705.24</v>
      </c>
      <c r="F649" s="119">
        <f>+L649</f>
        <v>400</v>
      </c>
      <c r="G649" s="294">
        <f t="shared" si="248"/>
        <v>1</v>
      </c>
      <c r="H649" s="490">
        <f t="shared" si="262"/>
        <v>1.2705673083031574</v>
      </c>
      <c r="I649" s="290"/>
      <c r="J649" s="119">
        <f t="shared" si="265"/>
        <v>400</v>
      </c>
      <c r="K649" s="290"/>
      <c r="L649" s="290">
        <f t="shared" si="259"/>
        <v>400</v>
      </c>
      <c r="M649" s="354">
        <f t="shared" si="263"/>
        <v>1</v>
      </c>
      <c r="N649" s="353"/>
      <c r="O649" s="431">
        <f>+X649</f>
        <v>400</v>
      </c>
      <c r="P649" s="119"/>
      <c r="Q649" s="119"/>
      <c r="R649" s="119"/>
      <c r="S649" s="119"/>
      <c r="T649" s="119"/>
      <c r="U649" s="119"/>
      <c r="V649" s="119"/>
      <c r="W649" s="356"/>
      <c r="X649" s="290">
        <v>400</v>
      </c>
      <c r="Y649" s="119"/>
      <c r="Z649" s="119"/>
      <c r="AA649" s="119"/>
      <c r="AB649" s="119"/>
      <c r="AC649" s="119"/>
      <c r="AD649" s="119"/>
      <c r="AE649" s="355"/>
      <c r="AF649" s="356"/>
    </row>
    <row r="650" spans="1:103" outlineLevel="1" x14ac:dyDescent="0.25">
      <c r="A650" s="352" t="s">
        <v>1153</v>
      </c>
      <c r="B650" s="475" t="s">
        <v>47</v>
      </c>
      <c r="C650" s="431">
        <v>327.08</v>
      </c>
      <c r="D650" s="119">
        <v>200</v>
      </c>
      <c r="E650" s="110">
        <v>344.1</v>
      </c>
      <c r="F650" s="119">
        <f>+L650</f>
        <v>200</v>
      </c>
      <c r="G650" s="294">
        <f t="shared" si="248"/>
        <v>1</v>
      </c>
      <c r="H650" s="490">
        <f t="shared" si="262"/>
        <v>0.61147119970649388</v>
      </c>
      <c r="I650" s="290"/>
      <c r="J650" s="119">
        <f t="shared" si="265"/>
        <v>200</v>
      </c>
      <c r="K650" s="290"/>
      <c r="L650" s="290">
        <f t="shared" si="259"/>
        <v>200</v>
      </c>
      <c r="M650" s="354">
        <f t="shared" si="263"/>
        <v>1</v>
      </c>
      <c r="N650" s="353"/>
      <c r="O650" s="431"/>
      <c r="P650" s="119">
        <f>+D650</f>
        <v>200</v>
      </c>
      <c r="Q650" s="119"/>
      <c r="R650" s="119"/>
      <c r="S650" s="119"/>
      <c r="T650" s="119"/>
      <c r="U650" s="119"/>
      <c r="V650" s="119"/>
      <c r="W650" s="356"/>
      <c r="X650" s="290"/>
      <c r="Y650" s="119">
        <v>200</v>
      </c>
      <c r="Z650" s="119"/>
      <c r="AA650" s="119"/>
      <c r="AB650" s="119"/>
      <c r="AC650" s="119"/>
      <c r="AD650" s="119"/>
      <c r="AE650" s="355"/>
      <c r="AF650" s="356"/>
    </row>
    <row r="651" spans="1:103" s="351" customFormat="1" ht="15.75" x14ac:dyDescent="0.25">
      <c r="A651" s="345" t="s">
        <v>625</v>
      </c>
      <c r="B651" s="474" t="s">
        <v>248</v>
      </c>
      <c r="C651" s="430">
        <f>SUM(C652:C672)</f>
        <v>35698.370000000003</v>
      </c>
      <c r="D651" s="455">
        <f>SUM(D652:D672)</f>
        <v>56056</v>
      </c>
      <c r="E651" s="274">
        <f>SUM(E652:E672)</f>
        <v>41233.119999999995</v>
      </c>
      <c r="F651" s="455">
        <f>SUM(F652:F672)</f>
        <v>38274.479999999996</v>
      </c>
      <c r="G651" s="292">
        <f t="shared" si="248"/>
        <v>1.4645790093033271</v>
      </c>
      <c r="H651" s="489">
        <f t="shared" si="262"/>
        <v>1.07216323882575</v>
      </c>
      <c r="I651" s="349"/>
      <c r="J651" s="347">
        <f>+J652+J653+J654+J655+J656+J657+J658+J659+J660+J661+J662+J663+J664+J665+J666+J667+J668+J669+J670+J671+J672</f>
        <v>56056</v>
      </c>
      <c r="K651" s="291"/>
      <c r="L651" s="291">
        <f t="shared" si="259"/>
        <v>40146</v>
      </c>
      <c r="M651" s="348">
        <f t="shared" si="263"/>
        <v>1.3963034922532755</v>
      </c>
      <c r="N651" s="392"/>
      <c r="O651" s="430">
        <f t="shared" ref="O651:AF651" si="266">SUM(O652:O672)</f>
        <v>0</v>
      </c>
      <c r="P651" s="455">
        <f t="shared" si="266"/>
        <v>56056</v>
      </c>
      <c r="Q651" s="455">
        <f t="shared" si="266"/>
        <v>0</v>
      </c>
      <c r="R651" s="455">
        <f t="shared" si="266"/>
        <v>0</v>
      </c>
      <c r="S651" s="455">
        <f t="shared" si="266"/>
        <v>0</v>
      </c>
      <c r="T651" s="455">
        <f t="shared" si="266"/>
        <v>0</v>
      </c>
      <c r="U651" s="455">
        <f t="shared" si="266"/>
        <v>0</v>
      </c>
      <c r="V651" s="455">
        <f t="shared" si="266"/>
        <v>0</v>
      </c>
      <c r="W651" s="350">
        <f t="shared" si="266"/>
        <v>0</v>
      </c>
      <c r="X651" s="349">
        <f t="shared" si="266"/>
        <v>0</v>
      </c>
      <c r="Y651" s="349">
        <f t="shared" si="266"/>
        <v>40146</v>
      </c>
      <c r="Z651" s="349">
        <f t="shared" si="266"/>
        <v>0</v>
      </c>
      <c r="AA651" s="349">
        <f t="shared" si="266"/>
        <v>0</v>
      </c>
      <c r="AB651" s="349">
        <f t="shared" si="266"/>
        <v>0</v>
      </c>
      <c r="AC651" s="349">
        <f t="shared" si="266"/>
        <v>0</v>
      </c>
      <c r="AD651" s="349">
        <f t="shared" si="266"/>
        <v>0</v>
      </c>
      <c r="AE651" s="349">
        <f t="shared" si="266"/>
        <v>0</v>
      </c>
      <c r="AF651" s="359">
        <f t="shared" si="266"/>
        <v>0</v>
      </c>
      <c r="AG651" s="293"/>
      <c r="AH651" s="293"/>
      <c r="AI651" s="293"/>
      <c r="AJ651" s="293"/>
      <c r="AK651" s="293"/>
      <c r="AL651" s="293"/>
      <c r="AM651" s="293"/>
      <c r="AN651" s="293"/>
      <c r="AO651" s="293"/>
      <c r="AP651" s="293"/>
      <c r="AQ651" s="293"/>
      <c r="AR651" s="293"/>
      <c r="AS651" s="293"/>
      <c r="AT651" s="293"/>
      <c r="AU651" s="293"/>
      <c r="AV651" s="293"/>
      <c r="AW651" s="293"/>
      <c r="AX651" s="293"/>
      <c r="AY651" s="293"/>
      <c r="AZ651" s="293"/>
      <c r="BA651" s="293"/>
      <c r="BB651" s="293"/>
      <c r="BC651" s="293"/>
      <c r="BD651" s="293"/>
      <c r="BE651" s="293"/>
      <c r="BF651" s="293"/>
      <c r="BG651" s="293"/>
      <c r="BH651" s="293"/>
      <c r="BI651" s="293"/>
      <c r="BJ651" s="293"/>
      <c r="BK651" s="293"/>
      <c r="BL651" s="293"/>
      <c r="BM651" s="293"/>
      <c r="BN651" s="293"/>
      <c r="BO651" s="293"/>
      <c r="BP651" s="293"/>
      <c r="BQ651" s="293"/>
      <c r="BR651" s="293"/>
      <c r="BS651" s="293"/>
      <c r="BT651" s="293"/>
      <c r="BU651" s="293"/>
      <c r="BV651" s="293"/>
      <c r="BW651" s="293"/>
      <c r="BX651" s="293"/>
      <c r="BY651" s="293"/>
      <c r="BZ651" s="293"/>
      <c r="CA651" s="293"/>
      <c r="CB651" s="293"/>
      <c r="CC651" s="293"/>
      <c r="CD651" s="293"/>
      <c r="CE651" s="293"/>
      <c r="CF651" s="293"/>
      <c r="CG651" s="293"/>
      <c r="CH651" s="293"/>
      <c r="CI651" s="293"/>
      <c r="CJ651" s="293"/>
      <c r="CK651" s="293"/>
      <c r="CL651" s="293"/>
      <c r="CM651" s="293"/>
      <c r="CN651" s="293"/>
      <c r="CO651" s="293"/>
      <c r="CP651" s="293"/>
      <c r="CQ651" s="293"/>
      <c r="CR651" s="293"/>
      <c r="CS651" s="293"/>
      <c r="CT651" s="293"/>
      <c r="CU651" s="293"/>
      <c r="CV651" s="293"/>
      <c r="CW651" s="293"/>
      <c r="CX651" s="293"/>
      <c r="CY651" s="293"/>
    </row>
    <row r="652" spans="1:103" x14ac:dyDescent="0.25">
      <c r="A652" s="358" t="s">
        <v>1154</v>
      </c>
      <c r="B652" s="475" t="s">
        <v>1155</v>
      </c>
      <c r="C652" s="431">
        <v>724.8</v>
      </c>
      <c r="D652" s="119">
        <v>756</v>
      </c>
      <c r="E652" s="110">
        <v>1229.93</v>
      </c>
      <c r="F652" s="119">
        <f>+L652</f>
        <v>756</v>
      </c>
      <c r="G652" s="294">
        <f t="shared" si="248"/>
        <v>1</v>
      </c>
      <c r="H652" s="490">
        <f t="shared" si="262"/>
        <v>1.0430463576158941</v>
      </c>
      <c r="I652" s="290"/>
      <c r="J652" s="119">
        <f t="shared" si="265"/>
        <v>756</v>
      </c>
      <c r="K652" s="290"/>
      <c r="L652" s="290">
        <f t="shared" si="259"/>
        <v>756</v>
      </c>
      <c r="M652" s="354">
        <f t="shared" si="263"/>
        <v>1</v>
      </c>
      <c r="N652" s="353"/>
      <c r="O652" s="431"/>
      <c r="P652" s="119">
        <f>+D652</f>
        <v>756</v>
      </c>
      <c r="Q652" s="119"/>
      <c r="R652" s="119"/>
      <c r="S652" s="119"/>
      <c r="T652" s="119"/>
      <c r="U652" s="119"/>
      <c r="V652" s="119"/>
      <c r="W652" s="356"/>
      <c r="X652" s="290"/>
      <c r="Y652" s="119">
        <v>756</v>
      </c>
      <c r="Z652" s="119"/>
      <c r="AA652" s="119"/>
      <c r="AB652" s="119"/>
      <c r="AC652" s="119"/>
      <c r="AD652" s="119"/>
      <c r="AE652" s="355"/>
      <c r="AF652" s="356"/>
    </row>
    <row r="653" spans="1:103" outlineLevel="1" x14ac:dyDescent="0.25">
      <c r="A653" s="352" t="s">
        <v>626</v>
      </c>
      <c r="B653" s="475" t="s">
        <v>750</v>
      </c>
      <c r="C653" s="431"/>
      <c r="D653" s="119"/>
      <c r="E653" s="110"/>
      <c r="F653" s="119"/>
      <c r="G653" s="294"/>
      <c r="H653" s="490"/>
      <c r="I653" s="290"/>
      <c r="J653" s="119">
        <f t="shared" si="265"/>
        <v>0</v>
      </c>
      <c r="K653" s="290"/>
      <c r="L653" s="290">
        <f t="shared" si="259"/>
        <v>0</v>
      </c>
      <c r="M653" s="354"/>
      <c r="N653" s="353"/>
      <c r="O653" s="431"/>
      <c r="P653" s="119"/>
      <c r="Q653" s="119"/>
      <c r="R653" s="119"/>
      <c r="S653" s="119"/>
      <c r="T653" s="119"/>
      <c r="U653" s="119"/>
      <c r="V653" s="119"/>
      <c r="W653" s="356"/>
      <c r="X653" s="290"/>
      <c r="Y653" s="119"/>
      <c r="Z653" s="119"/>
      <c r="AA653" s="119"/>
      <c r="AB653" s="119"/>
      <c r="AC653" s="119"/>
      <c r="AD653" s="119"/>
      <c r="AE653" s="355"/>
      <c r="AF653" s="356"/>
    </row>
    <row r="654" spans="1:103" outlineLevel="1" x14ac:dyDescent="0.25">
      <c r="A654" s="352" t="s">
        <v>627</v>
      </c>
      <c r="B654" s="475" t="s">
        <v>752</v>
      </c>
      <c r="C654" s="431"/>
      <c r="D654" s="119"/>
      <c r="E654" s="110"/>
      <c r="F654" s="119"/>
      <c r="G654" s="294"/>
      <c r="H654" s="490"/>
      <c r="I654" s="290"/>
      <c r="J654" s="119">
        <f t="shared" si="265"/>
        <v>0</v>
      </c>
      <c r="K654" s="290"/>
      <c r="L654" s="290">
        <f t="shared" si="259"/>
        <v>0</v>
      </c>
      <c r="M654" s="354"/>
      <c r="N654" s="353"/>
      <c r="O654" s="431"/>
      <c r="P654" s="119"/>
      <c r="Q654" s="119"/>
      <c r="R654" s="119"/>
      <c r="S654" s="119"/>
      <c r="T654" s="119"/>
      <c r="U654" s="119"/>
      <c r="V654" s="119"/>
      <c r="W654" s="356"/>
      <c r="X654" s="290"/>
      <c r="Y654" s="119"/>
      <c r="Z654" s="119"/>
      <c r="AA654" s="119"/>
      <c r="AB654" s="119"/>
      <c r="AC654" s="119"/>
      <c r="AD654" s="119"/>
      <c r="AE654" s="355"/>
      <c r="AF654" s="356"/>
    </row>
    <row r="655" spans="1:103" outlineLevel="1" x14ac:dyDescent="0.25">
      <c r="A655" s="352" t="s">
        <v>628</v>
      </c>
      <c r="B655" s="475" t="s">
        <v>753</v>
      </c>
      <c r="C655" s="431"/>
      <c r="D655" s="119"/>
      <c r="E655" s="110"/>
      <c r="F655" s="119"/>
      <c r="G655" s="294"/>
      <c r="H655" s="490"/>
      <c r="I655" s="290"/>
      <c r="J655" s="119">
        <f t="shared" si="265"/>
        <v>0</v>
      </c>
      <c r="K655" s="290"/>
      <c r="L655" s="290">
        <f t="shared" si="259"/>
        <v>0</v>
      </c>
      <c r="M655" s="354"/>
      <c r="N655" s="353"/>
      <c r="O655" s="431"/>
      <c r="P655" s="119"/>
      <c r="Q655" s="119"/>
      <c r="R655" s="119"/>
      <c r="S655" s="119"/>
      <c r="T655" s="119"/>
      <c r="U655" s="119"/>
      <c r="V655" s="119"/>
      <c r="W655" s="356"/>
      <c r="X655" s="290"/>
      <c r="Y655" s="119"/>
      <c r="Z655" s="119"/>
      <c r="AA655" s="119"/>
      <c r="AB655" s="119"/>
      <c r="AC655" s="119"/>
      <c r="AD655" s="119"/>
      <c r="AE655" s="355"/>
      <c r="AF655" s="356"/>
    </row>
    <row r="656" spans="1:103" outlineLevel="1" x14ac:dyDescent="0.25">
      <c r="A656" s="352" t="s">
        <v>667</v>
      </c>
      <c r="B656" s="475" t="s">
        <v>1235</v>
      </c>
      <c r="C656" s="431"/>
      <c r="D656" s="119"/>
      <c r="E656" s="110"/>
      <c r="F656" s="119"/>
      <c r="G656" s="294"/>
      <c r="H656" s="490"/>
      <c r="I656" s="290"/>
      <c r="J656" s="119">
        <f t="shared" si="265"/>
        <v>0</v>
      </c>
      <c r="K656" s="290"/>
      <c r="L656" s="290">
        <f t="shared" si="259"/>
        <v>0</v>
      </c>
      <c r="M656" s="354"/>
      <c r="N656" s="353"/>
      <c r="O656" s="431"/>
      <c r="P656" s="119"/>
      <c r="Q656" s="119"/>
      <c r="R656" s="119"/>
      <c r="S656" s="119"/>
      <c r="T656" s="119"/>
      <c r="U656" s="119"/>
      <c r="V656" s="119"/>
      <c r="W656" s="356"/>
      <c r="X656" s="290"/>
      <c r="Y656" s="119"/>
      <c r="Z656" s="119"/>
      <c r="AA656" s="119"/>
      <c r="AB656" s="119"/>
      <c r="AC656" s="119"/>
      <c r="AD656" s="119"/>
      <c r="AE656" s="355"/>
      <c r="AF656" s="356"/>
    </row>
    <row r="657" spans="1:32" outlineLevel="1" x14ac:dyDescent="0.25">
      <c r="A657" s="352" t="s">
        <v>668</v>
      </c>
      <c r="B657" s="475" t="s">
        <v>754</v>
      </c>
      <c r="C657" s="431">
        <v>14125.03</v>
      </c>
      <c r="D657" s="119"/>
      <c r="E657" s="110"/>
      <c r="F657" s="119"/>
      <c r="G657" s="294"/>
      <c r="H657" s="490">
        <f>+F657/C657</f>
        <v>0</v>
      </c>
      <c r="I657" s="290"/>
      <c r="J657" s="119">
        <f t="shared" si="265"/>
        <v>0</v>
      </c>
      <c r="K657" s="290"/>
      <c r="L657" s="290">
        <f t="shared" si="259"/>
        <v>0</v>
      </c>
      <c r="M657" s="354"/>
      <c r="N657" s="353"/>
      <c r="O657" s="431"/>
      <c r="P657" s="119"/>
      <c r="Q657" s="119"/>
      <c r="R657" s="119"/>
      <c r="S657" s="119"/>
      <c r="T657" s="119"/>
      <c r="U657" s="119"/>
      <c r="V657" s="119"/>
      <c r="W657" s="356"/>
      <c r="X657" s="290"/>
      <c r="Y657" s="119"/>
      <c r="Z657" s="119"/>
      <c r="AA657" s="119"/>
      <c r="AB657" s="119"/>
      <c r="AC657" s="119"/>
      <c r="AD657" s="119"/>
      <c r="AE657" s="355"/>
      <c r="AF657" s="356"/>
    </row>
    <row r="658" spans="1:32" outlineLevel="1" x14ac:dyDescent="0.25">
      <c r="A658" s="352" t="s">
        <v>669</v>
      </c>
      <c r="B658" s="475" t="s">
        <v>1243</v>
      </c>
      <c r="C658" s="431">
        <v>14038.32</v>
      </c>
      <c r="D658" s="119"/>
      <c r="E658" s="110"/>
      <c r="F658" s="119"/>
      <c r="G658" s="294"/>
      <c r="H658" s="490">
        <f>+F658/C658</f>
        <v>0</v>
      </c>
      <c r="I658" s="290"/>
      <c r="J658" s="119">
        <f t="shared" si="265"/>
        <v>0</v>
      </c>
      <c r="K658" s="290"/>
      <c r="L658" s="290">
        <f t="shared" si="259"/>
        <v>0</v>
      </c>
      <c r="M658" s="354"/>
      <c r="N658" s="353"/>
      <c r="O658" s="431"/>
      <c r="P658" s="119"/>
      <c r="Q658" s="119"/>
      <c r="R658" s="119"/>
      <c r="S658" s="119"/>
      <c r="T658" s="119"/>
      <c r="U658" s="119"/>
      <c r="V658" s="119"/>
      <c r="W658" s="356"/>
      <c r="X658" s="290"/>
      <c r="Y658" s="119"/>
      <c r="Z658" s="119"/>
      <c r="AA658" s="119"/>
      <c r="AB658" s="119"/>
      <c r="AC658" s="119"/>
      <c r="AD658" s="119"/>
      <c r="AE658" s="355"/>
      <c r="AF658" s="356"/>
    </row>
    <row r="659" spans="1:32" outlineLevel="1" x14ac:dyDescent="0.25">
      <c r="A659" s="352" t="s">
        <v>670</v>
      </c>
      <c r="B659" s="475" t="s">
        <v>1244</v>
      </c>
      <c r="C659" s="431"/>
      <c r="D659" s="119"/>
      <c r="E659" s="110"/>
      <c r="F659" s="119"/>
      <c r="G659" s="294"/>
      <c r="H659" s="490"/>
      <c r="I659" s="290"/>
      <c r="J659" s="119">
        <f t="shared" si="265"/>
        <v>0</v>
      </c>
      <c r="K659" s="290"/>
      <c r="L659" s="290">
        <f t="shared" si="259"/>
        <v>0</v>
      </c>
      <c r="M659" s="354"/>
      <c r="N659" s="353"/>
      <c r="O659" s="431"/>
      <c r="P659" s="119"/>
      <c r="Q659" s="119"/>
      <c r="R659" s="119"/>
      <c r="S659" s="119"/>
      <c r="T659" s="119"/>
      <c r="U659" s="119"/>
      <c r="V659" s="119"/>
      <c r="W659" s="356"/>
      <c r="X659" s="290"/>
      <c r="Y659" s="119"/>
      <c r="Z659" s="119"/>
      <c r="AA659" s="119"/>
      <c r="AB659" s="119"/>
      <c r="AC659" s="119"/>
      <c r="AD659" s="119"/>
      <c r="AE659" s="355"/>
      <c r="AF659" s="356"/>
    </row>
    <row r="660" spans="1:32" outlineLevel="1" x14ac:dyDescent="0.25">
      <c r="A660" s="352" t="s">
        <v>671</v>
      </c>
      <c r="B660" s="475" t="s">
        <v>1245</v>
      </c>
      <c r="C660" s="431">
        <v>6646.29</v>
      </c>
      <c r="D660" s="119"/>
      <c r="E660" s="110"/>
      <c r="F660" s="119"/>
      <c r="G660" s="294"/>
      <c r="H660" s="490">
        <f>+F660/C660</f>
        <v>0</v>
      </c>
      <c r="I660" s="290"/>
      <c r="J660" s="119">
        <f t="shared" si="265"/>
        <v>0</v>
      </c>
      <c r="K660" s="290"/>
      <c r="L660" s="290">
        <f t="shared" si="259"/>
        <v>0</v>
      </c>
      <c r="M660" s="354"/>
      <c r="N660" s="353"/>
      <c r="O660" s="431"/>
      <c r="P660" s="119"/>
      <c r="Q660" s="119"/>
      <c r="R660" s="119"/>
      <c r="S660" s="119"/>
      <c r="T660" s="119"/>
      <c r="U660" s="119"/>
      <c r="V660" s="119"/>
      <c r="W660" s="356"/>
      <c r="X660" s="290"/>
      <c r="Y660" s="119"/>
      <c r="Z660" s="119"/>
      <c r="AA660" s="119"/>
      <c r="AB660" s="119"/>
      <c r="AC660" s="119"/>
      <c r="AD660" s="119"/>
      <c r="AE660" s="355"/>
      <c r="AF660" s="356"/>
    </row>
    <row r="661" spans="1:32" outlineLevel="1" x14ac:dyDescent="0.25">
      <c r="A661" s="352" t="s">
        <v>672</v>
      </c>
      <c r="B661" s="475" t="s">
        <v>1236</v>
      </c>
      <c r="C661" s="431"/>
      <c r="D661" s="119">
        <v>1800</v>
      </c>
      <c r="E661" s="110">
        <v>1494.08</v>
      </c>
      <c r="F661" s="119">
        <f>+Y661</f>
        <v>1842</v>
      </c>
      <c r="G661" s="294">
        <f t="shared" si="248"/>
        <v>0.9771986970684039</v>
      </c>
      <c r="H661" s="490"/>
      <c r="I661" s="290"/>
      <c r="J661" s="119">
        <f t="shared" si="265"/>
        <v>1800</v>
      </c>
      <c r="K661" s="290"/>
      <c r="L661" s="290">
        <f t="shared" si="259"/>
        <v>1842</v>
      </c>
      <c r="M661" s="354">
        <f>+J661/L661</f>
        <v>0.9771986970684039</v>
      </c>
      <c r="N661" s="353"/>
      <c r="O661" s="431"/>
      <c r="P661" s="119">
        <v>1800</v>
      </c>
      <c r="Q661" s="119"/>
      <c r="R661" s="119"/>
      <c r="S661" s="119"/>
      <c r="T661" s="119"/>
      <c r="U661" s="119"/>
      <c r="V661" s="119"/>
      <c r="W661" s="356"/>
      <c r="X661" s="290"/>
      <c r="Y661" s="119">
        <f>6*307</f>
        <v>1842</v>
      </c>
      <c r="Z661" s="119"/>
      <c r="AA661" s="119"/>
      <c r="AB661" s="119"/>
      <c r="AC661" s="119"/>
      <c r="AD661" s="119"/>
      <c r="AE661" s="355"/>
      <c r="AF661" s="356"/>
    </row>
    <row r="662" spans="1:32" outlineLevel="1" x14ac:dyDescent="0.25">
      <c r="A662" s="352" t="s">
        <v>673</v>
      </c>
      <c r="B662" s="475" t="s">
        <v>757</v>
      </c>
      <c r="C662" s="431"/>
      <c r="D662" s="119"/>
      <c r="E662" s="110">
        <v>5582.47</v>
      </c>
      <c r="F662" s="119">
        <f>2676.48+1000</f>
        <v>3676.48</v>
      </c>
      <c r="G662" s="294">
        <f t="shared" si="248"/>
        <v>0</v>
      </c>
      <c r="H662" s="490"/>
      <c r="I662" s="290"/>
      <c r="J662" s="119">
        <f t="shared" si="265"/>
        <v>0</v>
      </c>
      <c r="K662" s="290"/>
      <c r="L662" s="290">
        <f t="shared" si="259"/>
        <v>5548</v>
      </c>
      <c r="M662" s="354">
        <f>+J662/L662</f>
        <v>0</v>
      </c>
      <c r="N662" s="353"/>
      <c r="O662" s="431"/>
      <c r="P662" s="119"/>
      <c r="Q662" s="119"/>
      <c r="R662" s="119"/>
      <c r="S662" s="119"/>
      <c r="T662" s="119"/>
      <c r="U662" s="119"/>
      <c r="V662" s="119"/>
      <c r="W662" s="356"/>
      <c r="X662" s="290"/>
      <c r="Y662" s="119">
        <f>292*19</f>
        <v>5548</v>
      </c>
      <c r="Z662" s="119"/>
      <c r="AA662" s="119"/>
      <c r="AB662" s="119"/>
      <c r="AC662" s="119"/>
      <c r="AD662" s="119"/>
      <c r="AE662" s="355"/>
      <c r="AF662" s="356"/>
    </row>
    <row r="663" spans="1:32" outlineLevel="1" x14ac:dyDescent="0.25">
      <c r="A663" s="352" t="s">
        <v>674</v>
      </c>
      <c r="B663" s="475" t="s">
        <v>758</v>
      </c>
      <c r="C663" s="431"/>
      <c r="D663" s="119"/>
      <c r="E663" s="110"/>
      <c r="F663" s="119"/>
      <c r="G663" s="294"/>
      <c r="H663" s="490"/>
      <c r="I663" s="290"/>
      <c r="J663" s="119">
        <f t="shared" si="265"/>
        <v>0</v>
      </c>
      <c r="K663" s="290"/>
      <c r="L663" s="290">
        <f t="shared" si="259"/>
        <v>0</v>
      </c>
      <c r="M663" s="354"/>
      <c r="N663" s="353"/>
      <c r="O663" s="431"/>
      <c r="P663" s="119"/>
      <c r="Q663" s="119"/>
      <c r="R663" s="119"/>
      <c r="S663" s="119"/>
      <c r="T663" s="119"/>
      <c r="U663" s="119"/>
      <c r="V663" s="119"/>
      <c r="W663" s="356"/>
      <c r="X663" s="290"/>
      <c r="Y663" s="119"/>
      <c r="Z663" s="119"/>
      <c r="AA663" s="119"/>
      <c r="AB663" s="119"/>
      <c r="AC663" s="119"/>
      <c r="AD663" s="119"/>
      <c r="AE663" s="355"/>
      <c r="AF663" s="356"/>
    </row>
    <row r="664" spans="1:32" outlineLevel="1" x14ac:dyDescent="0.25">
      <c r="A664" s="352" t="s">
        <v>675</v>
      </c>
      <c r="B664" s="475" t="s">
        <v>760</v>
      </c>
      <c r="C664" s="431"/>
      <c r="D664" s="119"/>
      <c r="E664" s="110"/>
      <c r="F664" s="119"/>
      <c r="G664" s="294"/>
      <c r="H664" s="490"/>
      <c r="I664" s="290"/>
      <c r="J664" s="119">
        <f t="shared" si="265"/>
        <v>0</v>
      </c>
      <c r="K664" s="290"/>
      <c r="L664" s="290">
        <f t="shared" si="259"/>
        <v>0</v>
      </c>
      <c r="M664" s="354"/>
      <c r="N664" s="353"/>
      <c r="O664" s="431"/>
      <c r="P664" s="119"/>
      <c r="Q664" s="119"/>
      <c r="R664" s="119"/>
      <c r="S664" s="119"/>
      <c r="T664" s="119"/>
      <c r="U664" s="119"/>
      <c r="V664" s="119"/>
      <c r="W664" s="356"/>
      <c r="X664" s="290"/>
      <c r="Y664" s="119"/>
      <c r="Z664" s="119"/>
      <c r="AA664" s="119"/>
      <c r="AB664" s="119"/>
      <c r="AC664" s="119"/>
      <c r="AD664" s="119"/>
      <c r="AE664" s="355"/>
      <c r="AF664" s="356"/>
    </row>
    <row r="665" spans="1:32" outlineLevel="1" x14ac:dyDescent="0.25">
      <c r="A665" s="352" t="s">
        <v>676</v>
      </c>
      <c r="B665" s="475" t="s">
        <v>761</v>
      </c>
      <c r="C665" s="431"/>
      <c r="D665" s="119">
        <v>3000</v>
      </c>
      <c r="E665" s="110"/>
      <c r="F665" s="119"/>
      <c r="G665" s="294"/>
      <c r="H665" s="490"/>
      <c r="I665" s="290"/>
      <c r="J665" s="119">
        <f t="shared" si="265"/>
        <v>3000</v>
      </c>
      <c r="K665" s="290"/>
      <c r="L665" s="290">
        <f t="shared" si="259"/>
        <v>0</v>
      </c>
      <c r="M665" s="354"/>
      <c r="N665" s="353"/>
      <c r="O665" s="431"/>
      <c r="P665" s="119">
        <f t="shared" ref="P665:P670" si="267">+D665</f>
        <v>3000</v>
      </c>
      <c r="Q665" s="119"/>
      <c r="R665" s="119"/>
      <c r="S665" s="119"/>
      <c r="T665" s="119"/>
      <c r="U665" s="119"/>
      <c r="V665" s="119"/>
      <c r="W665" s="356"/>
      <c r="X665" s="290"/>
      <c r="Y665" s="119"/>
      <c r="Z665" s="119"/>
      <c r="AA665" s="119"/>
      <c r="AB665" s="119"/>
      <c r="AC665" s="119"/>
      <c r="AD665" s="119"/>
      <c r="AE665" s="355"/>
      <c r="AF665" s="356"/>
    </row>
    <row r="666" spans="1:32" outlineLevel="1" x14ac:dyDescent="0.25">
      <c r="A666" s="352" t="s">
        <v>677</v>
      </c>
      <c r="B666" s="475" t="s">
        <v>1237</v>
      </c>
      <c r="C666" s="431"/>
      <c r="D666" s="119"/>
      <c r="E666" s="110"/>
      <c r="F666" s="119"/>
      <c r="G666" s="294"/>
      <c r="H666" s="490"/>
      <c r="I666" s="290"/>
      <c r="J666" s="119">
        <f t="shared" si="265"/>
        <v>0</v>
      </c>
      <c r="K666" s="290"/>
      <c r="L666" s="290">
        <f t="shared" si="259"/>
        <v>0</v>
      </c>
      <c r="M666" s="354"/>
      <c r="N666" s="353"/>
      <c r="O666" s="431"/>
      <c r="P666" s="119"/>
      <c r="Q666" s="119"/>
      <c r="R666" s="119"/>
      <c r="S666" s="119"/>
      <c r="T666" s="119"/>
      <c r="U666" s="119"/>
      <c r="V666" s="119"/>
      <c r="W666" s="356"/>
      <c r="X666" s="290"/>
      <c r="Y666" s="119"/>
      <c r="Z666" s="119"/>
      <c r="AA666" s="119"/>
      <c r="AB666" s="119"/>
      <c r="AC666" s="119"/>
      <c r="AD666" s="119"/>
      <c r="AE666" s="355"/>
      <c r="AF666" s="356"/>
    </row>
    <row r="667" spans="1:32" outlineLevel="1" x14ac:dyDescent="0.25">
      <c r="A667" s="352" t="s">
        <v>678</v>
      </c>
      <c r="B667" s="475" t="s">
        <v>1241</v>
      </c>
      <c r="C667" s="431"/>
      <c r="D667" s="119">
        <v>13500</v>
      </c>
      <c r="E667" s="110"/>
      <c r="F667" s="119"/>
      <c r="G667" s="294"/>
      <c r="H667" s="490"/>
      <c r="I667" s="290"/>
      <c r="J667" s="119">
        <f t="shared" si="265"/>
        <v>13500</v>
      </c>
      <c r="K667" s="290"/>
      <c r="L667" s="290">
        <f t="shared" si="259"/>
        <v>0</v>
      </c>
      <c r="M667" s="354"/>
      <c r="N667" s="353"/>
      <c r="O667" s="431"/>
      <c r="P667" s="119">
        <f t="shared" si="267"/>
        <v>13500</v>
      </c>
      <c r="Q667" s="119"/>
      <c r="R667" s="119"/>
      <c r="S667" s="119"/>
      <c r="T667" s="119"/>
      <c r="U667" s="119"/>
      <c r="V667" s="119"/>
      <c r="W667" s="356"/>
      <c r="X667" s="290"/>
      <c r="Y667" s="119"/>
      <c r="Z667" s="119"/>
      <c r="AA667" s="119"/>
      <c r="AB667" s="119"/>
      <c r="AC667" s="119"/>
      <c r="AD667" s="119"/>
      <c r="AE667" s="355"/>
      <c r="AF667" s="356"/>
    </row>
    <row r="668" spans="1:32" outlineLevel="1" x14ac:dyDescent="0.25">
      <c r="A668" s="352" t="s">
        <v>1238</v>
      </c>
      <c r="B668" s="475" t="s">
        <v>1242</v>
      </c>
      <c r="C668" s="431"/>
      <c r="D668" s="119">
        <v>13500</v>
      </c>
      <c r="E668" s="110">
        <v>13981.06</v>
      </c>
      <c r="F668" s="119">
        <f>+L668</f>
        <v>13500</v>
      </c>
      <c r="G668" s="294">
        <f t="shared" si="248"/>
        <v>1</v>
      </c>
      <c r="H668" s="490"/>
      <c r="I668" s="290"/>
      <c r="J668" s="119">
        <f t="shared" si="265"/>
        <v>13500</v>
      </c>
      <c r="K668" s="290"/>
      <c r="L668" s="290">
        <f t="shared" si="259"/>
        <v>13500</v>
      </c>
      <c r="M668" s="354">
        <f>+J668/L668</f>
        <v>1</v>
      </c>
      <c r="N668" s="353"/>
      <c r="O668" s="431"/>
      <c r="P668" s="119">
        <f t="shared" si="267"/>
        <v>13500</v>
      </c>
      <c r="Q668" s="119"/>
      <c r="R668" s="119"/>
      <c r="S668" s="119"/>
      <c r="T668" s="119"/>
      <c r="U668" s="119"/>
      <c r="V668" s="119"/>
      <c r="W668" s="356"/>
      <c r="X668" s="290"/>
      <c r="Y668" s="119">
        <v>13500</v>
      </c>
      <c r="Z668" s="119"/>
      <c r="AA668" s="119"/>
      <c r="AB668" s="119"/>
      <c r="AC668" s="119"/>
      <c r="AD668" s="119"/>
      <c r="AE668" s="355"/>
      <c r="AF668" s="356"/>
    </row>
    <row r="669" spans="1:32" outlineLevel="1" x14ac:dyDescent="0.25">
      <c r="A669" s="352" t="s">
        <v>1239</v>
      </c>
      <c r="B669" s="475" t="s">
        <v>1246</v>
      </c>
      <c r="C669" s="431"/>
      <c r="D669" s="119">
        <v>13500</v>
      </c>
      <c r="E669" s="110">
        <v>13384.52</v>
      </c>
      <c r="F669" s="119">
        <f>+L669</f>
        <v>13500</v>
      </c>
      <c r="G669" s="294">
        <f t="shared" si="248"/>
        <v>1</v>
      </c>
      <c r="H669" s="490"/>
      <c r="I669" s="290"/>
      <c r="J669" s="119">
        <f t="shared" si="265"/>
        <v>13500</v>
      </c>
      <c r="K669" s="290"/>
      <c r="L669" s="290">
        <f t="shared" si="259"/>
        <v>13500</v>
      </c>
      <c r="M669" s="354">
        <f>+J669/L669</f>
        <v>1</v>
      </c>
      <c r="N669" s="353"/>
      <c r="O669" s="431"/>
      <c r="P669" s="119">
        <f t="shared" si="267"/>
        <v>13500</v>
      </c>
      <c r="Q669" s="119"/>
      <c r="R669" s="119"/>
      <c r="S669" s="119"/>
      <c r="T669" s="119"/>
      <c r="U669" s="119"/>
      <c r="V669" s="119"/>
      <c r="W669" s="356"/>
      <c r="X669" s="290"/>
      <c r="Y669" s="119">
        <v>13500</v>
      </c>
      <c r="Z669" s="119"/>
      <c r="AA669" s="119"/>
      <c r="AB669" s="119"/>
      <c r="AC669" s="119"/>
      <c r="AD669" s="119"/>
      <c r="AE669" s="355"/>
      <c r="AF669" s="356"/>
    </row>
    <row r="670" spans="1:32" outlineLevel="1" x14ac:dyDescent="0.25">
      <c r="A670" s="352" t="s">
        <v>1240</v>
      </c>
      <c r="B670" s="475" t="s">
        <v>1247</v>
      </c>
      <c r="C670" s="431"/>
      <c r="D670" s="119">
        <v>5000</v>
      </c>
      <c r="E670" s="110">
        <v>5561.06</v>
      </c>
      <c r="F670" s="119">
        <f>+L670</f>
        <v>5000</v>
      </c>
      <c r="G670" s="294">
        <f t="shared" si="248"/>
        <v>1</v>
      </c>
      <c r="H670" s="490"/>
      <c r="I670" s="290"/>
      <c r="J670" s="119">
        <f t="shared" si="265"/>
        <v>5000</v>
      </c>
      <c r="K670" s="290"/>
      <c r="L670" s="290">
        <f t="shared" si="259"/>
        <v>5000</v>
      </c>
      <c r="M670" s="354">
        <f>+J670/L670</f>
        <v>1</v>
      </c>
      <c r="N670" s="353"/>
      <c r="O670" s="431"/>
      <c r="P670" s="119">
        <f t="shared" si="267"/>
        <v>5000</v>
      </c>
      <c r="Q670" s="119"/>
      <c r="R670" s="119"/>
      <c r="S670" s="119"/>
      <c r="T670" s="119"/>
      <c r="U670" s="119"/>
      <c r="V670" s="119"/>
      <c r="W670" s="356"/>
      <c r="X670" s="290"/>
      <c r="Y670" s="119">
        <v>5000</v>
      </c>
      <c r="Z670" s="119"/>
      <c r="AA670" s="119"/>
      <c r="AB670" s="119"/>
      <c r="AC670" s="119"/>
      <c r="AD670" s="119"/>
      <c r="AE670" s="355"/>
      <c r="AF670" s="356"/>
    </row>
    <row r="671" spans="1:32" outlineLevel="1" x14ac:dyDescent="0.25">
      <c r="A671" s="352" t="s">
        <v>1156</v>
      </c>
      <c r="B671" s="475" t="s">
        <v>1248</v>
      </c>
      <c r="C671" s="431"/>
      <c r="D671" s="119">
        <v>5000</v>
      </c>
      <c r="E671" s="110"/>
      <c r="F671" s="119">
        <v>0</v>
      </c>
      <c r="G671" s="294"/>
      <c r="H671" s="490"/>
      <c r="I671" s="290"/>
      <c r="J671" s="119">
        <f t="shared" si="265"/>
        <v>5000</v>
      </c>
      <c r="K671" s="290"/>
      <c r="L671" s="290">
        <f t="shared" si="259"/>
        <v>0</v>
      </c>
      <c r="M671" s="354"/>
      <c r="N671" s="353"/>
      <c r="O671" s="431"/>
      <c r="P671" s="119">
        <v>5000</v>
      </c>
      <c r="Q671" s="119"/>
      <c r="R671" s="119"/>
      <c r="S671" s="119"/>
      <c r="T671" s="119"/>
      <c r="U671" s="119"/>
      <c r="V671" s="119"/>
      <c r="W671" s="356"/>
      <c r="X671" s="290"/>
      <c r="Y671" s="119"/>
      <c r="Z671" s="119"/>
      <c r="AA671" s="119"/>
      <c r="AB671" s="119"/>
      <c r="AC671" s="119"/>
      <c r="AD671" s="119"/>
      <c r="AE671" s="355"/>
      <c r="AF671" s="356"/>
    </row>
    <row r="672" spans="1:32" outlineLevel="1" x14ac:dyDescent="0.25">
      <c r="A672" s="352" t="s">
        <v>1249</v>
      </c>
      <c r="B672" s="475" t="s">
        <v>47</v>
      </c>
      <c r="C672" s="431">
        <v>163.93</v>
      </c>
      <c r="D672" s="119"/>
      <c r="E672" s="110"/>
      <c r="F672" s="119"/>
      <c r="G672" s="294"/>
      <c r="H672" s="490">
        <f>+F672/C672</f>
        <v>0</v>
      </c>
      <c r="I672" s="290"/>
      <c r="J672" s="119">
        <f t="shared" si="265"/>
        <v>0</v>
      </c>
      <c r="K672" s="290"/>
      <c r="L672" s="290">
        <f t="shared" si="259"/>
        <v>0</v>
      </c>
      <c r="M672" s="354"/>
      <c r="N672" s="353"/>
      <c r="O672" s="431"/>
      <c r="P672" s="119"/>
      <c r="Q672" s="119"/>
      <c r="R672" s="119"/>
      <c r="S672" s="119"/>
      <c r="T672" s="119"/>
      <c r="U672" s="119"/>
      <c r="V672" s="119"/>
      <c r="W672" s="356"/>
      <c r="X672" s="290"/>
      <c r="Y672" s="119"/>
      <c r="Z672" s="119"/>
      <c r="AA672" s="119"/>
      <c r="AB672" s="119"/>
      <c r="AC672" s="119"/>
      <c r="AD672" s="119"/>
      <c r="AE672" s="355"/>
      <c r="AF672" s="356"/>
    </row>
    <row r="673" spans="1:103" s="351" customFormat="1" ht="15.75" x14ac:dyDescent="0.25">
      <c r="A673" s="345" t="s">
        <v>629</v>
      </c>
      <c r="B673" s="474" t="s">
        <v>666</v>
      </c>
      <c r="C673" s="430">
        <f>SUM(C674:C691)</f>
        <v>8106.62</v>
      </c>
      <c r="D673" s="455">
        <f>SUM(D674:D691)</f>
        <v>41050</v>
      </c>
      <c r="E673" s="274">
        <f>SUM(E674:E691)</f>
        <v>31711.574000000001</v>
      </c>
      <c r="F673" s="455">
        <f>SUM(F674:F691)</f>
        <v>50379.490000000005</v>
      </c>
      <c r="G673" s="292">
        <f t="shared" si="248"/>
        <v>0.81481571171125389</v>
      </c>
      <c r="H673" s="489">
        <f>+F673/C673</f>
        <v>6.2146110216095005</v>
      </c>
      <c r="I673" s="349"/>
      <c r="J673" s="455">
        <f>SUM(J674:J691)</f>
        <v>47600</v>
      </c>
      <c r="K673" s="291"/>
      <c r="L673" s="349">
        <f t="shared" si="259"/>
        <v>55211</v>
      </c>
      <c r="M673" s="363">
        <f t="shared" ref="M673:M690" si="268">+J673/L673</f>
        <v>0.86214703591675568</v>
      </c>
      <c r="N673" s="392"/>
      <c r="O673" s="430">
        <f t="shared" ref="O673:AF673" si="269">SUM(O674:O691)</f>
        <v>1000</v>
      </c>
      <c r="P673" s="455">
        <f t="shared" si="269"/>
        <v>46600</v>
      </c>
      <c r="Q673" s="455">
        <f t="shared" si="269"/>
        <v>0</v>
      </c>
      <c r="R673" s="455">
        <f t="shared" si="269"/>
        <v>0</v>
      </c>
      <c r="S673" s="455">
        <f t="shared" si="269"/>
        <v>0</v>
      </c>
      <c r="T673" s="455">
        <f t="shared" si="269"/>
        <v>0</v>
      </c>
      <c r="U673" s="455">
        <f t="shared" si="269"/>
        <v>0</v>
      </c>
      <c r="V673" s="455">
        <f t="shared" si="269"/>
        <v>0</v>
      </c>
      <c r="W673" s="350">
        <f t="shared" si="269"/>
        <v>0</v>
      </c>
      <c r="X673" s="349">
        <f t="shared" si="269"/>
        <v>1000</v>
      </c>
      <c r="Y673" s="349">
        <f t="shared" si="269"/>
        <v>54211</v>
      </c>
      <c r="Z673" s="349">
        <f t="shared" si="269"/>
        <v>0</v>
      </c>
      <c r="AA673" s="349">
        <f t="shared" si="269"/>
        <v>0</v>
      </c>
      <c r="AB673" s="349">
        <f t="shared" si="269"/>
        <v>0</v>
      </c>
      <c r="AC673" s="349">
        <f t="shared" si="269"/>
        <v>0</v>
      </c>
      <c r="AD673" s="349">
        <f t="shared" si="269"/>
        <v>0</v>
      </c>
      <c r="AE673" s="349">
        <f t="shared" si="269"/>
        <v>0</v>
      </c>
      <c r="AF673" s="359">
        <f t="shared" si="269"/>
        <v>0</v>
      </c>
      <c r="AG673" s="293"/>
      <c r="AH673" s="293"/>
      <c r="AI673" s="293"/>
      <c r="AJ673" s="293"/>
      <c r="AK673" s="293"/>
      <c r="AL673" s="293"/>
      <c r="AM673" s="293"/>
      <c r="AN673" s="293"/>
      <c r="AO673" s="293"/>
      <c r="AP673" s="293"/>
      <c r="AQ673" s="293"/>
      <c r="AR673" s="293"/>
      <c r="AS673" s="293"/>
      <c r="AT673" s="293"/>
      <c r="AU673" s="293"/>
      <c r="AV673" s="293"/>
      <c r="AW673" s="293"/>
      <c r="AX673" s="293"/>
      <c r="AY673" s="293"/>
      <c r="AZ673" s="293"/>
      <c r="BA673" s="293"/>
      <c r="BB673" s="293"/>
      <c r="BC673" s="293"/>
      <c r="BD673" s="293"/>
      <c r="BE673" s="293"/>
      <c r="BF673" s="293"/>
      <c r="BG673" s="293"/>
      <c r="BH673" s="293"/>
      <c r="BI673" s="293"/>
      <c r="BJ673" s="293"/>
      <c r="BK673" s="293"/>
      <c r="BL673" s="293"/>
      <c r="BM673" s="293"/>
      <c r="BN673" s="293"/>
      <c r="BO673" s="293"/>
      <c r="BP673" s="293"/>
      <c r="BQ673" s="293"/>
      <c r="BR673" s="293"/>
      <c r="BS673" s="293"/>
      <c r="BT673" s="293"/>
      <c r="BU673" s="293"/>
      <c r="BV673" s="293"/>
      <c r="BW673" s="293"/>
      <c r="BX673" s="293"/>
      <c r="BY673" s="293"/>
      <c r="BZ673" s="293"/>
      <c r="CA673" s="293"/>
      <c r="CB673" s="293"/>
      <c r="CC673" s="293"/>
      <c r="CD673" s="293"/>
      <c r="CE673" s="293"/>
      <c r="CF673" s="293"/>
      <c r="CG673" s="293"/>
      <c r="CH673" s="293"/>
      <c r="CI673" s="293"/>
      <c r="CJ673" s="293"/>
      <c r="CK673" s="293"/>
      <c r="CL673" s="293"/>
      <c r="CM673" s="293"/>
      <c r="CN673" s="293"/>
      <c r="CO673" s="293"/>
      <c r="CP673" s="293"/>
      <c r="CQ673" s="293"/>
      <c r="CR673" s="293"/>
      <c r="CS673" s="293"/>
      <c r="CT673" s="293"/>
      <c r="CU673" s="293"/>
      <c r="CV673" s="293"/>
      <c r="CW673" s="293"/>
      <c r="CX673" s="293"/>
      <c r="CY673" s="293"/>
    </row>
    <row r="674" spans="1:103" x14ac:dyDescent="0.25">
      <c r="A674" s="358" t="s">
        <v>1157</v>
      </c>
      <c r="B674" s="475" t="s">
        <v>1158</v>
      </c>
      <c r="C674" s="431">
        <v>7013.29</v>
      </c>
      <c r="D674" s="119">
        <v>1500</v>
      </c>
      <c r="E674" s="110"/>
      <c r="F674" s="119">
        <f>+Y674</f>
        <v>1500</v>
      </c>
      <c r="G674" s="294">
        <f t="shared" si="248"/>
        <v>1</v>
      </c>
      <c r="H674" s="490">
        <f>+F674/C674</f>
        <v>0.21387964849592703</v>
      </c>
      <c r="I674" s="290"/>
      <c r="J674" s="119">
        <f t="shared" si="265"/>
        <v>1500</v>
      </c>
      <c r="K674" s="290"/>
      <c r="L674" s="290">
        <f t="shared" si="259"/>
        <v>1500</v>
      </c>
      <c r="M674" s="354">
        <f t="shared" si="268"/>
        <v>1</v>
      </c>
      <c r="N674" s="353"/>
      <c r="O674" s="431"/>
      <c r="P674" s="119">
        <f>+D674</f>
        <v>1500</v>
      </c>
      <c r="Q674" s="119"/>
      <c r="R674" s="119"/>
      <c r="S674" s="119"/>
      <c r="T674" s="119"/>
      <c r="U674" s="119"/>
      <c r="V674" s="119"/>
      <c r="W674" s="356"/>
      <c r="X674" s="290"/>
      <c r="Y674" s="119">
        <v>1500</v>
      </c>
      <c r="Z674" s="119"/>
      <c r="AA674" s="119"/>
      <c r="AB674" s="119"/>
      <c r="AC674" s="119"/>
      <c r="AD674" s="119"/>
      <c r="AE674" s="355"/>
      <c r="AF674" s="356"/>
    </row>
    <row r="675" spans="1:103" outlineLevel="1" x14ac:dyDescent="0.25">
      <c r="A675" s="352" t="s">
        <v>779</v>
      </c>
      <c r="B675" s="475" t="s">
        <v>992</v>
      </c>
      <c r="C675" s="431">
        <v>1093.33</v>
      </c>
      <c r="D675" s="119">
        <v>1000</v>
      </c>
      <c r="E675" s="110">
        <v>876.22</v>
      </c>
      <c r="F675" s="119">
        <f>+X675</f>
        <v>1000</v>
      </c>
      <c r="G675" s="294">
        <f t="shared" si="248"/>
        <v>1</v>
      </c>
      <c r="H675" s="490">
        <f>+F675/C675</f>
        <v>0.9146369348687039</v>
      </c>
      <c r="I675" s="290"/>
      <c r="J675" s="119">
        <f t="shared" si="265"/>
        <v>1000</v>
      </c>
      <c r="K675" s="290"/>
      <c r="L675" s="290">
        <f t="shared" si="259"/>
        <v>1000</v>
      </c>
      <c r="M675" s="354">
        <f t="shared" si="268"/>
        <v>1</v>
      </c>
      <c r="N675" s="353"/>
      <c r="O675" s="431">
        <f>+X675</f>
        <v>1000</v>
      </c>
      <c r="P675" s="119"/>
      <c r="Q675" s="119"/>
      <c r="R675" s="119"/>
      <c r="S675" s="119"/>
      <c r="T675" s="119"/>
      <c r="U675" s="119"/>
      <c r="V675" s="119"/>
      <c r="W675" s="356"/>
      <c r="X675" s="290">
        <v>1000</v>
      </c>
      <c r="Y675" s="119"/>
      <c r="Z675" s="119"/>
      <c r="AA675" s="119"/>
      <c r="AB675" s="119"/>
      <c r="AC675" s="119"/>
      <c r="AD675" s="119"/>
      <c r="AE675" s="355"/>
      <c r="AF675" s="356"/>
    </row>
    <row r="676" spans="1:103" outlineLevel="1" x14ac:dyDescent="0.25">
      <c r="A676" s="352" t="s">
        <v>780</v>
      </c>
      <c r="B676" s="475" t="s">
        <v>1264</v>
      </c>
      <c r="C676" s="431"/>
      <c r="D676" s="525">
        <f>2*1500</f>
        <v>3000</v>
      </c>
      <c r="E676" s="110">
        <v>2936.21</v>
      </c>
      <c r="F676" s="119">
        <v>2936.21</v>
      </c>
      <c r="G676" s="294">
        <f t="shared" si="248"/>
        <v>1.021725285316786</v>
      </c>
      <c r="H676" s="490"/>
      <c r="I676" s="290"/>
      <c r="J676" s="119">
        <f t="shared" si="265"/>
        <v>3600</v>
      </c>
      <c r="K676" s="290"/>
      <c r="L676" s="290">
        <f t="shared" si="259"/>
        <v>4104</v>
      </c>
      <c r="M676" s="354">
        <f t="shared" si="268"/>
        <v>0.8771929824561403</v>
      </c>
      <c r="N676" s="353"/>
      <c r="O676" s="431"/>
      <c r="P676" s="119">
        <v>3600</v>
      </c>
      <c r="Q676" s="119"/>
      <c r="R676" s="119"/>
      <c r="S676" s="119"/>
      <c r="T676" s="119"/>
      <c r="U676" s="119"/>
      <c r="V676" s="119"/>
      <c r="W676" s="356"/>
      <c r="X676" s="290"/>
      <c r="Y676" s="119">
        <v>4104</v>
      </c>
      <c r="Z676" s="119"/>
      <c r="AA676" s="119"/>
      <c r="AB676" s="119"/>
      <c r="AC676" s="119"/>
      <c r="AD676" s="119"/>
      <c r="AE676" s="355"/>
      <c r="AF676" s="356"/>
    </row>
    <row r="677" spans="1:103" outlineLevel="1" x14ac:dyDescent="0.25">
      <c r="A677" s="352" t="s">
        <v>1250</v>
      </c>
      <c r="B677" s="475" t="s">
        <v>1265</v>
      </c>
      <c r="C677" s="431"/>
      <c r="D677" s="119">
        <v>1800</v>
      </c>
      <c r="E677" s="110">
        <v>2260.38</v>
      </c>
      <c r="F677" s="119">
        <f>1404.72+2*52.56+750.54</f>
        <v>2260.38</v>
      </c>
      <c r="G677" s="294">
        <f t="shared" si="248"/>
        <v>0.7963262814217078</v>
      </c>
      <c r="H677" s="490"/>
      <c r="I677" s="290"/>
      <c r="J677" s="119">
        <f t="shared" si="265"/>
        <v>1800</v>
      </c>
      <c r="K677" s="290"/>
      <c r="L677" s="290">
        <f t="shared" si="259"/>
        <v>3168</v>
      </c>
      <c r="M677" s="354">
        <f t="shared" si="268"/>
        <v>0.56818181818181823</v>
      </c>
      <c r="N677" s="353"/>
      <c r="O677" s="431"/>
      <c r="P677" s="119">
        <v>1800</v>
      </c>
      <c r="Q677" s="119"/>
      <c r="R677" s="119"/>
      <c r="S677" s="119"/>
      <c r="T677" s="119"/>
      <c r="U677" s="119"/>
      <c r="V677" s="119"/>
      <c r="W677" s="356"/>
      <c r="X677" s="290"/>
      <c r="Y677" s="119">
        <v>3168</v>
      </c>
      <c r="Z677" s="119"/>
      <c r="AA677" s="119"/>
      <c r="AB677" s="119"/>
      <c r="AC677" s="119"/>
      <c r="AD677" s="119"/>
      <c r="AE677" s="355"/>
      <c r="AF677" s="356"/>
    </row>
    <row r="678" spans="1:103" outlineLevel="1" x14ac:dyDescent="0.25">
      <c r="A678" s="352" t="s">
        <v>1251</v>
      </c>
      <c r="B678" s="475" t="s">
        <v>1266</v>
      </c>
      <c r="C678" s="431"/>
      <c r="D678" s="525">
        <v>3000</v>
      </c>
      <c r="E678" s="110">
        <v>2719.38</v>
      </c>
      <c r="F678" s="119">
        <v>2719.38</v>
      </c>
      <c r="G678" s="294">
        <f t="shared" si="248"/>
        <v>1.1031926394987093</v>
      </c>
      <c r="H678" s="490"/>
      <c r="I678" s="290"/>
      <c r="J678" s="119">
        <f t="shared" si="265"/>
        <v>3600</v>
      </c>
      <c r="K678" s="290"/>
      <c r="L678" s="290">
        <f t="shared" si="259"/>
        <v>3960</v>
      </c>
      <c r="M678" s="354">
        <f t="shared" si="268"/>
        <v>0.90909090909090906</v>
      </c>
      <c r="N678" s="353"/>
      <c r="O678" s="431"/>
      <c r="P678" s="119">
        <v>3600</v>
      </c>
      <c r="Q678" s="119"/>
      <c r="R678" s="119"/>
      <c r="S678" s="119"/>
      <c r="T678" s="119"/>
      <c r="U678" s="119"/>
      <c r="V678" s="119"/>
      <c r="W678" s="356"/>
      <c r="X678" s="290"/>
      <c r="Y678" s="119">
        <v>3960</v>
      </c>
      <c r="Z678" s="119"/>
      <c r="AA678" s="119"/>
      <c r="AB678" s="119"/>
      <c r="AC678" s="119"/>
      <c r="AD678" s="119"/>
      <c r="AE678" s="355"/>
      <c r="AF678" s="356"/>
    </row>
    <row r="679" spans="1:103" outlineLevel="1" x14ac:dyDescent="0.25">
      <c r="A679" s="352" t="s">
        <v>1252</v>
      </c>
      <c r="B679" s="475" t="s">
        <v>1267</v>
      </c>
      <c r="C679" s="431"/>
      <c r="D679" s="525">
        <v>3000</v>
      </c>
      <c r="E679" s="110">
        <v>2588.64</v>
      </c>
      <c r="F679" s="119">
        <f>1870.64+605.48+55.45+56.95</f>
        <v>2588.5199999999995</v>
      </c>
      <c r="G679" s="294">
        <f t="shared" si="248"/>
        <v>1.1589634231143666</v>
      </c>
      <c r="H679" s="490"/>
      <c r="I679" s="290"/>
      <c r="J679" s="119">
        <f t="shared" si="265"/>
        <v>3600</v>
      </c>
      <c r="K679" s="290"/>
      <c r="L679" s="290">
        <f t="shared" si="259"/>
        <v>4104</v>
      </c>
      <c r="M679" s="354">
        <f t="shared" si="268"/>
        <v>0.8771929824561403</v>
      </c>
      <c r="N679" s="353"/>
      <c r="O679" s="431"/>
      <c r="P679" s="119">
        <v>3600</v>
      </c>
      <c r="Q679" s="119"/>
      <c r="R679" s="119"/>
      <c r="S679" s="119"/>
      <c r="T679" s="119"/>
      <c r="U679" s="119"/>
      <c r="V679" s="119"/>
      <c r="W679" s="356"/>
      <c r="X679" s="290"/>
      <c r="Y679" s="119">
        <f>4032+72</f>
        <v>4104</v>
      </c>
      <c r="Z679" s="119"/>
      <c r="AA679" s="119"/>
      <c r="AB679" s="119"/>
      <c r="AC679" s="119"/>
      <c r="AD679" s="119"/>
      <c r="AE679" s="355"/>
      <c r="AF679" s="356"/>
    </row>
    <row r="680" spans="1:103" outlineLevel="1" x14ac:dyDescent="0.25">
      <c r="A680" s="352" t="s">
        <v>1253</v>
      </c>
      <c r="B680" s="475" t="s">
        <v>1268</v>
      </c>
      <c r="C680" s="431"/>
      <c r="D680" s="525">
        <v>3000</v>
      </c>
      <c r="E680" s="110">
        <v>2407.69</v>
      </c>
      <c r="F680" s="119">
        <f>+Y680</f>
        <v>3250</v>
      </c>
      <c r="G680" s="294">
        <f t="shared" si="248"/>
        <v>0.92307692307692313</v>
      </c>
      <c r="H680" s="490"/>
      <c r="I680" s="290"/>
      <c r="J680" s="119">
        <f t="shared" si="265"/>
        <v>3250</v>
      </c>
      <c r="K680" s="290"/>
      <c r="L680" s="290">
        <f t="shared" si="259"/>
        <v>3250</v>
      </c>
      <c r="M680" s="354">
        <f t="shared" si="268"/>
        <v>1</v>
      </c>
      <c r="N680" s="353"/>
      <c r="O680" s="431"/>
      <c r="P680" s="119">
        <f>+Y680</f>
        <v>3250</v>
      </c>
      <c r="Q680" s="119"/>
      <c r="R680" s="119"/>
      <c r="S680" s="119"/>
      <c r="T680" s="119"/>
      <c r="U680" s="119"/>
      <c r="V680" s="119"/>
      <c r="W680" s="356"/>
      <c r="X680" s="290"/>
      <c r="Y680" s="119">
        <f>65*2*25</f>
        <v>3250</v>
      </c>
      <c r="Z680" s="119"/>
      <c r="AA680" s="119"/>
      <c r="AB680" s="119"/>
      <c r="AC680" s="119"/>
      <c r="AD680" s="119"/>
      <c r="AE680" s="355"/>
      <c r="AF680" s="356"/>
    </row>
    <row r="681" spans="1:103" outlineLevel="1" x14ac:dyDescent="0.25">
      <c r="A681" s="352" t="s">
        <v>1254</v>
      </c>
      <c r="B681" s="475" t="s">
        <v>1269</v>
      </c>
      <c r="C681" s="431"/>
      <c r="D681" s="119">
        <v>1625</v>
      </c>
      <c r="E681" s="110">
        <v>1257.364</v>
      </c>
      <c r="F681" s="119">
        <f t="shared" ref="F681:F690" si="270">+Y681</f>
        <v>1625</v>
      </c>
      <c r="G681" s="294">
        <f t="shared" ref="G681:G697" si="271">+D681/F681</f>
        <v>1</v>
      </c>
      <c r="H681" s="490"/>
      <c r="I681" s="290"/>
      <c r="J681" s="119">
        <f t="shared" si="265"/>
        <v>1625</v>
      </c>
      <c r="K681" s="290"/>
      <c r="L681" s="290">
        <f t="shared" si="259"/>
        <v>1625</v>
      </c>
      <c r="M681" s="354">
        <f t="shared" si="268"/>
        <v>1</v>
      </c>
      <c r="N681" s="353"/>
      <c r="O681" s="431"/>
      <c r="P681" s="119">
        <f>+Y681</f>
        <v>1625</v>
      </c>
      <c r="Q681" s="119"/>
      <c r="R681" s="119"/>
      <c r="S681" s="119"/>
      <c r="T681" s="119"/>
      <c r="U681" s="119"/>
      <c r="V681" s="119"/>
      <c r="W681" s="356"/>
      <c r="X681" s="290"/>
      <c r="Y681" s="119">
        <f>25*65</f>
        <v>1625</v>
      </c>
      <c r="Z681" s="119"/>
      <c r="AA681" s="119"/>
      <c r="AB681" s="119"/>
      <c r="AC681" s="119"/>
      <c r="AD681" s="119"/>
      <c r="AE681" s="355"/>
      <c r="AF681" s="356"/>
    </row>
    <row r="682" spans="1:103" outlineLevel="1" x14ac:dyDescent="0.25">
      <c r="A682" s="352" t="s">
        <v>1255</v>
      </c>
      <c r="B682" s="475" t="s">
        <v>1270</v>
      </c>
      <c r="C682" s="431"/>
      <c r="D682" s="525">
        <v>2500</v>
      </c>
      <c r="E682" s="110">
        <v>2260.79</v>
      </c>
      <c r="F682" s="119">
        <f t="shared" si="270"/>
        <v>3250</v>
      </c>
      <c r="G682" s="294">
        <f t="shared" si="271"/>
        <v>0.76923076923076927</v>
      </c>
      <c r="H682" s="490"/>
      <c r="I682" s="290"/>
      <c r="J682" s="119">
        <f t="shared" si="265"/>
        <v>3250</v>
      </c>
      <c r="K682" s="290"/>
      <c r="L682" s="290">
        <f t="shared" si="259"/>
        <v>3250</v>
      </c>
      <c r="M682" s="354">
        <f t="shared" si="268"/>
        <v>1</v>
      </c>
      <c r="N682" s="353"/>
      <c r="O682" s="431"/>
      <c r="P682" s="119">
        <f>+Y682</f>
        <v>3250</v>
      </c>
      <c r="Q682" s="119"/>
      <c r="R682" s="119"/>
      <c r="S682" s="119"/>
      <c r="T682" s="119"/>
      <c r="U682" s="119"/>
      <c r="V682" s="119"/>
      <c r="W682" s="356"/>
      <c r="X682" s="290"/>
      <c r="Y682" s="119">
        <f>25*2*65</f>
        <v>3250</v>
      </c>
      <c r="Z682" s="119"/>
      <c r="AA682" s="119"/>
      <c r="AB682" s="119"/>
      <c r="AC682" s="119"/>
      <c r="AD682" s="119"/>
      <c r="AE682" s="355"/>
      <c r="AF682" s="356"/>
    </row>
    <row r="683" spans="1:103" outlineLevel="1" x14ac:dyDescent="0.25">
      <c r="A683" s="352" t="s">
        <v>1256</v>
      </c>
      <c r="B683" s="475" t="s">
        <v>1271</v>
      </c>
      <c r="C683" s="431"/>
      <c r="D683" s="525">
        <v>2500</v>
      </c>
      <c r="E683" s="110">
        <v>2321.2800000000002</v>
      </c>
      <c r="F683" s="119">
        <f t="shared" si="270"/>
        <v>3250</v>
      </c>
      <c r="G683" s="294">
        <f t="shared" si="271"/>
        <v>0.76923076923076927</v>
      </c>
      <c r="H683" s="490"/>
      <c r="I683" s="290"/>
      <c r="J683" s="119">
        <f t="shared" si="265"/>
        <v>3250</v>
      </c>
      <c r="K683" s="290"/>
      <c r="L683" s="290">
        <f t="shared" si="259"/>
        <v>3250</v>
      </c>
      <c r="M683" s="354">
        <f t="shared" si="268"/>
        <v>1</v>
      </c>
      <c r="N683" s="353"/>
      <c r="O683" s="431"/>
      <c r="P683" s="119">
        <f>+Y683</f>
        <v>3250</v>
      </c>
      <c r="Q683" s="119"/>
      <c r="R683" s="119"/>
      <c r="S683" s="119"/>
      <c r="T683" s="119"/>
      <c r="U683" s="119"/>
      <c r="V683" s="119"/>
      <c r="W683" s="356"/>
      <c r="X683" s="290"/>
      <c r="Y683" s="119">
        <v>3250</v>
      </c>
      <c r="Z683" s="119"/>
      <c r="AA683" s="119"/>
      <c r="AB683" s="119"/>
      <c r="AC683" s="119"/>
      <c r="AD683" s="119"/>
      <c r="AE683" s="355"/>
      <c r="AF683" s="356"/>
    </row>
    <row r="684" spans="1:103" outlineLevel="1" x14ac:dyDescent="0.25">
      <c r="A684" s="352" t="s">
        <v>1257</v>
      </c>
      <c r="B684" s="475" t="s">
        <v>1272</v>
      </c>
      <c r="C684" s="431"/>
      <c r="D684" s="525">
        <v>2500</v>
      </c>
      <c r="E684" s="110">
        <v>2037.81</v>
      </c>
      <c r="F684" s="119">
        <f t="shared" si="270"/>
        <v>3250</v>
      </c>
      <c r="G684" s="294">
        <f t="shared" si="271"/>
        <v>0.76923076923076927</v>
      </c>
      <c r="H684" s="490"/>
      <c r="I684" s="290"/>
      <c r="J684" s="119">
        <f t="shared" si="265"/>
        <v>3250</v>
      </c>
      <c r="K684" s="290"/>
      <c r="L684" s="290">
        <f t="shared" si="259"/>
        <v>3250</v>
      </c>
      <c r="M684" s="354">
        <f t="shared" si="268"/>
        <v>1</v>
      </c>
      <c r="N684" s="353"/>
      <c r="O684" s="431"/>
      <c r="P684" s="119">
        <f>+Y684</f>
        <v>3250</v>
      </c>
      <c r="Q684" s="119"/>
      <c r="R684" s="119"/>
      <c r="S684" s="119"/>
      <c r="T684" s="119"/>
      <c r="U684" s="119"/>
      <c r="V684" s="119"/>
      <c r="W684" s="356"/>
      <c r="X684" s="290"/>
      <c r="Y684" s="119">
        <v>3250</v>
      </c>
      <c r="Z684" s="119"/>
      <c r="AA684" s="119"/>
      <c r="AB684" s="119"/>
      <c r="AC684" s="119"/>
      <c r="AD684" s="119"/>
      <c r="AE684" s="355"/>
      <c r="AF684" s="356"/>
    </row>
    <row r="685" spans="1:103" outlineLevel="1" x14ac:dyDescent="0.25">
      <c r="A685" s="352" t="s">
        <v>1258</v>
      </c>
      <c r="B685" s="475" t="s">
        <v>1273</v>
      </c>
      <c r="C685" s="431"/>
      <c r="D685" s="525">
        <v>2500</v>
      </c>
      <c r="E685" s="110">
        <v>1138.6099999999999</v>
      </c>
      <c r="F685" s="119">
        <f t="shared" si="270"/>
        <v>1625</v>
      </c>
      <c r="G685" s="294">
        <f t="shared" si="271"/>
        <v>1.5384615384615385</v>
      </c>
      <c r="H685" s="490"/>
      <c r="I685" s="290"/>
      <c r="J685" s="119">
        <f t="shared" si="265"/>
        <v>3250</v>
      </c>
      <c r="K685" s="290"/>
      <c r="L685" s="290">
        <f t="shared" si="259"/>
        <v>1625</v>
      </c>
      <c r="M685" s="354">
        <f t="shared" si="268"/>
        <v>2</v>
      </c>
      <c r="N685" s="353"/>
      <c r="O685" s="431"/>
      <c r="P685" s="119">
        <v>3250</v>
      </c>
      <c r="Q685" s="119"/>
      <c r="R685" s="119"/>
      <c r="S685" s="119"/>
      <c r="T685" s="119"/>
      <c r="U685" s="119"/>
      <c r="V685" s="119"/>
      <c r="W685" s="356"/>
      <c r="X685" s="290"/>
      <c r="Y685" s="119">
        <f>65*25</f>
        <v>1625</v>
      </c>
      <c r="Z685" s="119"/>
      <c r="AA685" s="119"/>
      <c r="AB685" s="119"/>
      <c r="AC685" s="119"/>
      <c r="AD685" s="119"/>
      <c r="AE685" s="355"/>
      <c r="AF685" s="356"/>
    </row>
    <row r="686" spans="1:103" outlineLevel="1" x14ac:dyDescent="0.25">
      <c r="A686" s="352" t="s">
        <v>1259</v>
      </c>
      <c r="B686" s="475" t="s">
        <v>1274</v>
      </c>
      <c r="C686" s="431"/>
      <c r="D686" s="525">
        <v>5000</v>
      </c>
      <c r="E686" s="110">
        <v>3916.47</v>
      </c>
      <c r="F686" s="119">
        <f t="shared" si="270"/>
        <v>9750</v>
      </c>
      <c r="G686" s="294">
        <f t="shared" si="271"/>
        <v>0.51282051282051277</v>
      </c>
      <c r="H686" s="490"/>
      <c r="I686" s="290"/>
      <c r="J686" s="119">
        <f t="shared" si="265"/>
        <v>6500</v>
      </c>
      <c r="K686" s="290"/>
      <c r="L686" s="290">
        <f t="shared" si="259"/>
        <v>9750</v>
      </c>
      <c r="M686" s="354">
        <f t="shared" si="268"/>
        <v>0.66666666666666663</v>
      </c>
      <c r="N686" s="353"/>
      <c r="O686" s="431"/>
      <c r="P686" s="119">
        <v>6500</v>
      </c>
      <c r="Q686" s="119"/>
      <c r="R686" s="119"/>
      <c r="S686" s="119"/>
      <c r="T686" s="119"/>
      <c r="U686" s="119"/>
      <c r="V686" s="119"/>
      <c r="W686" s="356"/>
      <c r="X686" s="290"/>
      <c r="Y686" s="119">
        <f>6*25*65</f>
        <v>9750</v>
      </c>
      <c r="Z686" s="119"/>
      <c r="AA686" s="119"/>
      <c r="AB686" s="119"/>
      <c r="AC686" s="119"/>
      <c r="AD686" s="119"/>
      <c r="AE686" s="355"/>
      <c r="AF686" s="356"/>
    </row>
    <row r="687" spans="1:103" outlineLevel="1" x14ac:dyDescent="0.25">
      <c r="A687" s="352" t="s">
        <v>1260</v>
      </c>
      <c r="B687" s="475" t="s">
        <v>1275</v>
      </c>
      <c r="C687" s="431"/>
      <c r="D687" s="119">
        <f>2*1625</f>
        <v>3250</v>
      </c>
      <c r="E687" s="110">
        <v>1305.78</v>
      </c>
      <c r="F687" s="119">
        <f t="shared" si="270"/>
        <v>3250</v>
      </c>
      <c r="G687" s="294">
        <f t="shared" si="271"/>
        <v>1</v>
      </c>
      <c r="H687" s="490"/>
      <c r="I687" s="290"/>
      <c r="J687" s="119">
        <f t="shared" si="265"/>
        <v>3250</v>
      </c>
      <c r="K687" s="290"/>
      <c r="L687" s="290">
        <f t="shared" si="259"/>
        <v>3250</v>
      </c>
      <c r="M687" s="354">
        <f t="shared" si="268"/>
        <v>1</v>
      </c>
      <c r="N687" s="353"/>
      <c r="O687" s="431"/>
      <c r="P687" s="119">
        <f>+Y687</f>
        <v>3250</v>
      </c>
      <c r="Q687" s="119"/>
      <c r="R687" s="119"/>
      <c r="S687" s="119"/>
      <c r="T687" s="119"/>
      <c r="U687" s="119"/>
      <c r="V687" s="119"/>
      <c r="W687" s="356"/>
      <c r="X687" s="290"/>
      <c r="Y687" s="119">
        <v>3250</v>
      </c>
      <c r="Z687" s="119"/>
      <c r="AA687" s="119"/>
      <c r="AB687" s="119"/>
      <c r="AC687" s="119"/>
      <c r="AD687" s="119"/>
      <c r="AE687" s="355"/>
      <c r="AF687" s="356"/>
    </row>
    <row r="688" spans="1:103" outlineLevel="1" x14ac:dyDescent="0.25">
      <c r="A688" s="352" t="s">
        <v>1261</v>
      </c>
      <c r="B688" s="475" t="s">
        <v>1276</v>
      </c>
      <c r="C688" s="431"/>
      <c r="D688" s="119">
        <v>1625</v>
      </c>
      <c r="E688" s="110">
        <v>1303.53</v>
      </c>
      <c r="F688" s="119">
        <f t="shared" si="270"/>
        <v>1625</v>
      </c>
      <c r="G688" s="294">
        <f t="shared" si="271"/>
        <v>1</v>
      </c>
      <c r="H688" s="490"/>
      <c r="I688" s="290"/>
      <c r="J688" s="119">
        <f t="shared" si="265"/>
        <v>1625</v>
      </c>
      <c r="K688" s="290"/>
      <c r="L688" s="290">
        <f t="shared" si="259"/>
        <v>1625</v>
      </c>
      <c r="M688" s="354">
        <f t="shared" si="268"/>
        <v>1</v>
      </c>
      <c r="N688" s="353"/>
      <c r="O688" s="431"/>
      <c r="P688" s="119">
        <f>+Y688</f>
        <v>1625</v>
      </c>
      <c r="Q688" s="119"/>
      <c r="R688" s="119"/>
      <c r="S688" s="119"/>
      <c r="T688" s="119"/>
      <c r="U688" s="119"/>
      <c r="V688" s="119"/>
      <c r="W688" s="356"/>
      <c r="X688" s="290"/>
      <c r="Y688" s="119">
        <v>1625</v>
      </c>
      <c r="Z688" s="119"/>
      <c r="AA688" s="119"/>
      <c r="AB688" s="119"/>
      <c r="AC688" s="119"/>
      <c r="AD688" s="119"/>
      <c r="AE688" s="355"/>
      <c r="AF688" s="356"/>
    </row>
    <row r="689" spans="1:103" outlineLevel="1" x14ac:dyDescent="0.25">
      <c r="A689" s="352" t="s">
        <v>1262</v>
      </c>
      <c r="B689" s="475" t="s">
        <v>1277</v>
      </c>
      <c r="C689" s="431"/>
      <c r="D689" s="119"/>
      <c r="E689" s="110"/>
      <c r="F689" s="119">
        <f t="shared" si="270"/>
        <v>3250</v>
      </c>
      <c r="G689" s="294">
        <f t="shared" si="271"/>
        <v>0</v>
      </c>
      <c r="H689" s="490"/>
      <c r="I689" s="290"/>
      <c r="J689" s="119">
        <f t="shared" si="265"/>
        <v>0</v>
      </c>
      <c r="K689" s="290"/>
      <c r="L689" s="290">
        <f t="shared" si="259"/>
        <v>3250</v>
      </c>
      <c r="M689" s="354">
        <f t="shared" si="268"/>
        <v>0</v>
      </c>
      <c r="N689" s="353"/>
      <c r="O689" s="431"/>
      <c r="P689" s="119"/>
      <c r="Q689" s="119"/>
      <c r="R689" s="119"/>
      <c r="S689" s="119"/>
      <c r="T689" s="119"/>
      <c r="U689" s="119"/>
      <c r="V689" s="119"/>
      <c r="W689" s="356"/>
      <c r="X689" s="290"/>
      <c r="Y689" s="119">
        <v>3250</v>
      </c>
      <c r="Z689" s="119"/>
      <c r="AA689" s="119"/>
      <c r="AB689" s="119"/>
      <c r="AC689" s="119"/>
      <c r="AD689" s="119"/>
      <c r="AE689" s="355"/>
      <c r="AF689" s="356"/>
    </row>
    <row r="690" spans="1:103" outlineLevel="1" x14ac:dyDescent="0.25">
      <c r="A690" s="352" t="s">
        <v>1263</v>
      </c>
      <c r="B690" s="475" t="s">
        <v>1278</v>
      </c>
      <c r="C690" s="431"/>
      <c r="D690" s="119">
        <f>2*1625</f>
        <v>3250</v>
      </c>
      <c r="E690" s="110">
        <v>2381.42</v>
      </c>
      <c r="F690" s="119">
        <f t="shared" si="270"/>
        <v>3250</v>
      </c>
      <c r="G690" s="294">
        <f t="shared" si="271"/>
        <v>1</v>
      </c>
      <c r="H690" s="490"/>
      <c r="I690" s="290"/>
      <c r="J690" s="119">
        <f t="shared" si="265"/>
        <v>3250</v>
      </c>
      <c r="K690" s="290"/>
      <c r="L690" s="290">
        <f t="shared" si="259"/>
        <v>3250</v>
      </c>
      <c r="M690" s="354">
        <f t="shared" si="268"/>
        <v>1</v>
      </c>
      <c r="N690" s="353"/>
      <c r="O690" s="431"/>
      <c r="P690" s="119">
        <f>+Y690</f>
        <v>3250</v>
      </c>
      <c r="Q690" s="119"/>
      <c r="R690" s="119"/>
      <c r="S690" s="119"/>
      <c r="T690" s="119"/>
      <c r="U690" s="119"/>
      <c r="V690" s="119"/>
      <c r="W690" s="356"/>
      <c r="X690" s="290"/>
      <c r="Y690" s="119">
        <v>3250</v>
      </c>
      <c r="Z690" s="119"/>
      <c r="AA690" s="119"/>
      <c r="AB690" s="119"/>
      <c r="AC690" s="119"/>
      <c r="AD690" s="119"/>
      <c r="AE690" s="355"/>
      <c r="AF690" s="356"/>
    </row>
    <row r="691" spans="1:103" outlineLevel="1" x14ac:dyDescent="0.25">
      <c r="A691" s="352" t="s">
        <v>1279</v>
      </c>
      <c r="B691" s="475" t="s">
        <v>47</v>
      </c>
      <c r="C691" s="431"/>
      <c r="D691" s="119"/>
      <c r="E691" s="110"/>
      <c r="F691" s="119"/>
      <c r="G691" s="294"/>
      <c r="H691" s="490"/>
      <c r="I691" s="290"/>
      <c r="J691" s="119">
        <f t="shared" si="265"/>
        <v>0</v>
      </c>
      <c r="K691" s="290"/>
      <c r="L691" s="290">
        <f t="shared" si="259"/>
        <v>0</v>
      </c>
      <c r="M691" s="354"/>
      <c r="N691" s="353"/>
      <c r="O691" s="431"/>
      <c r="P691" s="119"/>
      <c r="Q691" s="119"/>
      <c r="R691" s="119"/>
      <c r="S691" s="119"/>
      <c r="T691" s="119"/>
      <c r="U691" s="119"/>
      <c r="V691" s="119"/>
      <c r="W691" s="356"/>
      <c r="X691" s="290"/>
      <c r="Y691" s="119"/>
      <c r="Z691" s="119"/>
      <c r="AA691" s="119"/>
      <c r="AB691" s="119"/>
      <c r="AC691" s="119"/>
      <c r="AD691" s="119"/>
      <c r="AE691" s="355"/>
      <c r="AF691" s="356"/>
    </row>
    <row r="692" spans="1:103" s="351" customFormat="1" ht="15.75" x14ac:dyDescent="0.25">
      <c r="A692" s="345" t="s">
        <v>633</v>
      </c>
      <c r="B692" s="474" t="s">
        <v>250</v>
      </c>
      <c r="C692" s="430">
        <f>+C693+C694+C695</f>
        <v>4858.1400000000003</v>
      </c>
      <c r="D692" s="455">
        <f>+D693+D694+D695</f>
        <v>5000</v>
      </c>
      <c r="E692" s="274">
        <f>+E693+E694+E695</f>
        <v>5286.4900000000007</v>
      </c>
      <c r="F692" s="455">
        <f>+F693+F694+F695</f>
        <v>5000</v>
      </c>
      <c r="G692" s="292">
        <f t="shared" si="271"/>
        <v>1</v>
      </c>
      <c r="H692" s="489">
        <f>+F692/C692</f>
        <v>1.0292004759022999</v>
      </c>
      <c r="I692" s="349"/>
      <c r="J692" s="347">
        <f>+J693+J694+J695</f>
        <v>5000</v>
      </c>
      <c r="K692" s="291"/>
      <c r="L692" s="291">
        <f t="shared" si="259"/>
        <v>5000</v>
      </c>
      <c r="M692" s="348">
        <f>+J692/L692</f>
        <v>1</v>
      </c>
      <c r="N692" s="392"/>
      <c r="O692" s="430">
        <f>+O693+O694+O695</f>
        <v>4625</v>
      </c>
      <c r="P692" s="455">
        <f t="shared" ref="P692:AF692" si="272">SUM(P693:P695)</f>
        <v>375</v>
      </c>
      <c r="Q692" s="455">
        <f t="shared" si="272"/>
        <v>0</v>
      </c>
      <c r="R692" s="455">
        <f t="shared" si="272"/>
        <v>0</v>
      </c>
      <c r="S692" s="455">
        <f t="shared" si="272"/>
        <v>0</v>
      </c>
      <c r="T692" s="455">
        <f t="shared" si="272"/>
        <v>0</v>
      </c>
      <c r="U692" s="455">
        <f t="shared" si="272"/>
        <v>0</v>
      </c>
      <c r="V692" s="455">
        <f t="shared" si="272"/>
        <v>0</v>
      </c>
      <c r="W692" s="350">
        <f t="shared" si="272"/>
        <v>0</v>
      </c>
      <c r="X692" s="349">
        <f t="shared" si="272"/>
        <v>4625</v>
      </c>
      <c r="Y692" s="455">
        <f t="shared" si="272"/>
        <v>375</v>
      </c>
      <c r="Z692" s="455">
        <f t="shared" si="272"/>
        <v>0</v>
      </c>
      <c r="AA692" s="455">
        <f t="shared" si="272"/>
        <v>0</v>
      </c>
      <c r="AB692" s="455">
        <f t="shared" si="272"/>
        <v>0</v>
      </c>
      <c r="AC692" s="455">
        <f t="shared" si="272"/>
        <v>0</v>
      </c>
      <c r="AD692" s="455">
        <f t="shared" si="272"/>
        <v>0</v>
      </c>
      <c r="AE692" s="455">
        <f t="shared" si="272"/>
        <v>0</v>
      </c>
      <c r="AF692" s="350">
        <f t="shared" si="272"/>
        <v>0</v>
      </c>
      <c r="AG692" s="293"/>
      <c r="AH692" s="293"/>
      <c r="AI692" s="293"/>
      <c r="AJ692" s="293"/>
      <c r="AK692" s="293"/>
      <c r="AL692" s="293"/>
      <c r="AM692" s="293"/>
      <c r="AN692" s="293"/>
      <c r="AO692" s="293"/>
      <c r="AP692" s="293"/>
      <c r="AQ692" s="293"/>
      <c r="AR692" s="293"/>
      <c r="AS692" s="293"/>
      <c r="AT692" s="293"/>
      <c r="AU692" s="293"/>
      <c r="AV692" s="293"/>
      <c r="AW692" s="293"/>
      <c r="AX692" s="293"/>
      <c r="AY692" s="293"/>
      <c r="AZ692" s="293"/>
      <c r="BA692" s="293"/>
      <c r="BB692" s="293"/>
      <c r="BC692" s="293"/>
      <c r="BD692" s="293"/>
      <c r="BE692" s="293"/>
      <c r="BF692" s="293"/>
      <c r="BG692" s="293"/>
      <c r="BH692" s="293"/>
      <c r="BI692" s="293"/>
      <c r="BJ692" s="293"/>
      <c r="BK692" s="293"/>
      <c r="BL692" s="293"/>
      <c r="BM692" s="293"/>
      <c r="BN692" s="293"/>
      <c r="BO692" s="293"/>
      <c r="BP692" s="293"/>
      <c r="BQ692" s="293"/>
      <c r="BR692" s="293"/>
      <c r="BS692" s="293"/>
      <c r="BT692" s="293"/>
      <c r="BU692" s="293"/>
      <c r="BV692" s="293"/>
      <c r="BW692" s="293"/>
      <c r="BX692" s="293"/>
      <c r="BY692" s="293"/>
      <c r="BZ692" s="293"/>
      <c r="CA692" s="293"/>
      <c r="CB692" s="293"/>
      <c r="CC692" s="293"/>
      <c r="CD692" s="293"/>
      <c r="CE692" s="293"/>
      <c r="CF692" s="293"/>
      <c r="CG692" s="293"/>
      <c r="CH692" s="293"/>
      <c r="CI692" s="293"/>
      <c r="CJ692" s="293"/>
      <c r="CK692" s="293"/>
      <c r="CL692" s="293"/>
      <c r="CM692" s="293"/>
      <c r="CN692" s="293"/>
      <c r="CO692" s="293"/>
      <c r="CP692" s="293"/>
      <c r="CQ692" s="293"/>
      <c r="CR692" s="293"/>
      <c r="CS692" s="293"/>
      <c r="CT692" s="293"/>
      <c r="CU692" s="293"/>
      <c r="CV692" s="293"/>
      <c r="CW692" s="293"/>
      <c r="CX692" s="293"/>
      <c r="CY692" s="293"/>
    </row>
    <row r="693" spans="1:103" outlineLevel="1" x14ac:dyDescent="0.25">
      <c r="A693" s="352" t="s">
        <v>634</v>
      </c>
      <c r="B693" s="475" t="s">
        <v>813</v>
      </c>
      <c r="C693" s="431"/>
      <c r="D693" s="119">
        <v>500</v>
      </c>
      <c r="E693" s="110">
        <v>634.89</v>
      </c>
      <c r="F693" s="119">
        <v>500</v>
      </c>
      <c r="G693" s="294">
        <f t="shared" si="271"/>
        <v>1</v>
      </c>
      <c r="H693" s="490"/>
      <c r="I693" s="290"/>
      <c r="J693" s="119">
        <f t="shared" si="265"/>
        <v>500</v>
      </c>
      <c r="K693" s="290"/>
      <c r="L693" s="290">
        <f t="shared" si="259"/>
        <v>500</v>
      </c>
      <c r="M693" s="354">
        <f>+J693/L693</f>
        <v>1</v>
      </c>
      <c r="N693" s="353"/>
      <c r="O693" s="431">
        <f>+X693</f>
        <v>125</v>
      </c>
      <c r="P693" s="119">
        <v>375</v>
      </c>
      <c r="Q693" s="119"/>
      <c r="R693" s="119"/>
      <c r="S693" s="119"/>
      <c r="T693" s="119"/>
      <c r="U693" s="119"/>
      <c r="V693" s="119"/>
      <c r="W693" s="356"/>
      <c r="X693" s="290">
        <v>125</v>
      </c>
      <c r="Y693" s="119">
        <v>375</v>
      </c>
      <c r="Z693" s="119"/>
      <c r="AA693" s="119"/>
      <c r="AB693" s="119"/>
      <c r="AC693" s="119"/>
      <c r="AD693" s="119"/>
      <c r="AE693" s="355"/>
      <c r="AF693" s="356"/>
    </row>
    <row r="694" spans="1:103" outlineLevel="1" x14ac:dyDescent="0.25">
      <c r="A694" s="352" t="s">
        <v>635</v>
      </c>
      <c r="B694" s="475" t="s">
        <v>837</v>
      </c>
      <c r="C694" s="431">
        <v>4761.5600000000004</v>
      </c>
      <c r="D694" s="119">
        <v>4500</v>
      </c>
      <c r="E694" s="110">
        <v>4242.92</v>
      </c>
      <c r="F694" s="119">
        <v>4500</v>
      </c>
      <c r="G694" s="294">
        <f t="shared" si="271"/>
        <v>1</v>
      </c>
      <c r="H694" s="490">
        <f>+F694/C694</f>
        <v>0.94506842295382176</v>
      </c>
      <c r="I694" s="290"/>
      <c r="J694" s="119">
        <f t="shared" si="265"/>
        <v>4500</v>
      </c>
      <c r="K694" s="290"/>
      <c r="L694" s="290">
        <f t="shared" si="259"/>
        <v>4500</v>
      </c>
      <c r="M694" s="354">
        <f>+J694/L694</f>
        <v>1</v>
      </c>
      <c r="N694" s="353"/>
      <c r="O694" s="431">
        <f>+X694</f>
        <v>4500</v>
      </c>
      <c r="P694" s="119"/>
      <c r="Q694" s="119"/>
      <c r="R694" s="119"/>
      <c r="S694" s="119"/>
      <c r="T694" s="119"/>
      <c r="U694" s="119"/>
      <c r="V694" s="119"/>
      <c r="W694" s="356"/>
      <c r="X694" s="290">
        <v>4500</v>
      </c>
      <c r="Y694" s="119"/>
      <c r="Z694" s="119"/>
      <c r="AA694" s="119"/>
      <c r="AB694" s="119"/>
      <c r="AC694" s="119"/>
      <c r="AD694" s="119"/>
      <c r="AE694" s="355"/>
      <c r="AF694" s="356"/>
    </row>
    <row r="695" spans="1:103" outlineLevel="1" x14ac:dyDescent="0.25">
      <c r="A695" s="352" t="s">
        <v>1159</v>
      </c>
      <c r="B695" s="475" t="s">
        <v>47</v>
      </c>
      <c r="C695" s="431">
        <v>96.58</v>
      </c>
      <c r="D695" s="119"/>
      <c r="E695" s="110">
        <v>408.68</v>
      </c>
      <c r="F695" s="119"/>
      <c r="G695" s="294"/>
      <c r="H695" s="490">
        <f>+F695/C695</f>
        <v>0</v>
      </c>
      <c r="I695" s="290"/>
      <c r="J695" s="119">
        <f t="shared" si="265"/>
        <v>0</v>
      </c>
      <c r="K695" s="290"/>
      <c r="L695" s="290">
        <f t="shared" si="259"/>
        <v>0</v>
      </c>
      <c r="M695" s="354"/>
      <c r="N695" s="353"/>
      <c r="O695" s="431"/>
      <c r="P695" s="119"/>
      <c r="Q695" s="119"/>
      <c r="R695" s="119"/>
      <c r="S695" s="119"/>
      <c r="T695" s="119"/>
      <c r="U695" s="119"/>
      <c r="V695" s="119"/>
      <c r="W695" s="356"/>
      <c r="X695" s="290"/>
      <c r="Y695" s="119"/>
      <c r="Z695" s="119"/>
      <c r="AA695" s="119"/>
      <c r="AB695" s="119"/>
      <c r="AC695" s="119"/>
      <c r="AD695" s="119"/>
      <c r="AE695" s="355"/>
      <c r="AF695" s="356"/>
    </row>
    <row r="696" spans="1:103" s="351" customFormat="1" ht="15.75" x14ac:dyDescent="0.25">
      <c r="A696" s="345" t="s">
        <v>639</v>
      </c>
      <c r="B696" s="474" t="s">
        <v>495</v>
      </c>
      <c r="C696" s="430">
        <f>+C697</f>
        <v>8550</v>
      </c>
      <c r="D696" s="455">
        <f>+D697</f>
        <v>8550</v>
      </c>
      <c r="E696" s="274">
        <f>+E697</f>
        <v>8550</v>
      </c>
      <c r="F696" s="455">
        <f>+F697</f>
        <v>8550</v>
      </c>
      <c r="G696" s="292">
        <f t="shared" si="271"/>
        <v>1</v>
      </c>
      <c r="H696" s="489">
        <f>+F696/C696</f>
        <v>1</v>
      </c>
      <c r="I696" s="349"/>
      <c r="J696" s="347">
        <f>+J697</f>
        <v>8550</v>
      </c>
      <c r="K696" s="291"/>
      <c r="L696" s="291">
        <f t="shared" si="259"/>
        <v>8550</v>
      </c>
      <c r="M696" s="348">
        <f>+J696/L696</f>
        <v>1</v>
      </c>
      <c r="N696" s="392"/>
      <c r="O696" s="430">
        <f>+O697</f>
        <v>0</v>
      </c>
      <c r="P696" s="455">
        <f t="shared" ref="P696:AF696" si="273">SUM(P697:P697)</f>
        <v>8550</v>
      </c>
      <c r="Q696" s="455">
        <f t="shared" si="273"/>
        <v>0</v>
      </c>
      <c r="R696" s="455">
        <f t="shared" si="273"/>
        <v>0</v>
      </c>
      <c r="S696" s="455">
        <f t="shared" si="273"/>
        <v>0</v>
      </c>
      <c r="T696" s="455">
        <f t="shared" si="273"/>
        <v>0</v>
      </c>
      <c r="U696" s="455">
        <f t="shared" si="273"/>
        <v>0</v>
      </c>
      <c r="V696" s="455">
        <f t="shared" si="273"/>
        <v>0</v>
      </c>
      <c r="W696" s="350">
        <f t="shared" si="273"/>
        <v>0</v>
      </c>
      <c r="X696" s="349">
        <f t="shared" si="273"/>
        <v>0</v>
      </c>
      <c r="Y696" s="455">
        <f t="shared" si="273"/>
        <v>8550</v>
      </c>
      <c r="Z696" s="455">
        <f t="shared" si="273"/>
        <v>0</v>
      </c>
      <c r="AA696" s="455">
        <f t="shared" si="273"/>
        <v>0</v>
      </c>
      <c r="AB696" s="455">
        <f t="shared" si="273"/>
        <v>0</v>
      </c>
      <c r="AC696" s="455">
        <f t="shared" si="273"/>
        <v>0</v>
      </c>
      <c r="AD696" s="455">
        <f t="shared" si="273"/>
        <v>0</v>
      </c>
      <c r="AE696" s="455">
        <f t="shared" si="273"/>
        <v>0</v>
      </c>
      <c r="AF696" s="350">
        <f t="shared" si="273"/>
        <v>0</v>
      </c>
      <c r="AG696" s="293"/>
      <c r="AH696" s="293"/>
      <c r="AI696" s="293"/>
      <c r="AJ696" s="293"/>
      <c r="AK696" s="293"/>
      <c r="AL696" s="293"/>
      <c r="AM696" s="293"/>
      <c r="AN696" s="293"/>
      <c r="AO696" s="293"/>
      <c r="AP696" s="293"/>
      <c r="AQ696" s="293"/>
      <c r="AR696" s="293"/>
      <c r="AS696" s="293"/>
      <c r="AT696" s="293"/>
      <c r="AU696" s="293"/>
      <c r="AV696" s="293"/>
      <c r="AW696" s="293"/>
      <c r="AX696" s="293"/>
      <c r="AY696" s="293"/>
      <c r="AZ696" s="293"/>
      <c r="BA696" s="293"/>
      <c r="BB696" s="293"/>
      <c r="BC696" s="293"/>
      <c r="BD696" s="293"/>
      <c r="BE696" s="293"/>
      <c r="BF696" s="293"/>
      <c r="BG696" s="293"/>
      <c r="BH696" s="293"/>
      <c r="BI696" s="293"/>
      <c r="BJ696" s="293"/>
      <c r="BK696" s="293"/>
      <c r="BL696" s="293"/>
      <c r="BM696" s="293"/>
      <c r="BN696" s="293"/>
      <c r="BO696" s="293"/>
      <c r="BP696" s="293"/>
      <c r="BQ696" s="293"/>
      <c r="BR696" s="293"/>
      <c r="BS696" s="293"/>
      <c r="BT696" s="293"/>
      <c r="BU696" s="293"/>
      <c r="BV696" s="293"/>
      <c r="BW696" s="293"/>
      <c r="BX696" s="293"/>
      <c r="BY696" s="293"/>
      <c r="BZ696" s="293"/>
      <c r="CA696" s="293"/>
      <c r="CB696" s="293"/>
      <c r="CC696" s="293"/>
      <c r="CD696" s="293"/>
      <c r="CE696" s="293"/>
      <c r="CF696" s="293"/>
      <c r="CG696" s="293"/>
      <c r="CH696" s="293"/>
      <c r="CI696" s="293"/>
      <c r="CJ696" s="293"/>
      <c r="CK696" s="293"/>
      <c r="CL696" s="293"/>
      <c r="CM696" s="293"/>
      <c r="CN696" s="293"/>
      <c r="CO696" s="293"/>
      <c r="CP696" s="293"/>
      <c r="CQ696" s="293"/>
      <c r="CR696" s="293"/>
      <c r="CS696" s="293"/>
      <c r="CT696" s="293"/>
      <c r="CU696" s="293"/>
      <c r="CV696" s="293"/>
      <c r="CW696" s="293"/>
      <c r="CX696" s="293"/>
      <c r="CY696" s="293"/>
    </row>
    <row r="697" spans="1:103" ht="15.75" outlineLevel="1" thickBot="1" x14ac:dyDescent="0.3">
      <c r="A697" s="418" t="s">
        <v>640</v>
      </c>
      <c r="B697" s="419" t="s">
        <v>495</v>
      </c>
      <c r="C697" s="437">
        <v>8550</v>
      </c>
      <c r="D697" s="420">
        <v>8550</v>
      </c>
      <c r="E697" s="508">
        <v>8550</v>
      </c>
      <c r="F697" s="420">
        <v>8550</v>
      </c>
      <c r="G697" s="421">
        <f t="shared" si="271"/>
        <v>1</v>
      </c>
      <c r="H697" s="496">
        <f>+F697/C697</f>
        <v>1</v>
      </c>
      <c r="I697" s="423"/>
      <c r="J697" s="420">
        <f t="shared" si="265"/>
        <v>8550</v>
      </c>
      <c r="K697" s="420"/>
      <c r="L697" s="420">
        <f t="shared" si="259"/>
        <v>8550</v>
      </c>
      <c r="M697" s="424">
        <f>+J697/L697</f>
        <v>1</v>
      </c>
      <c r="N697" s="422"/>
      <c r="O697" s="437"/>
      <c r="P697" s="420">
        <v>8550</v>
      </c>
      <c r="Q697" s="420"/>
      <c r="R697" s="420"/>
      <c r="S697" s="420"/>
      <c r="T697" s="420"/>
      <c r="U697" s="420"/>
      <c r="V697" s="420"/>
      <c r="W697" s="426"/>
      <c r="X697" s="423"/>
      <c r="Y697" s="420">
        <v>8550</v>
      </c>
      <c r="Z697" s="420"/>
      <c r="AA697" s="420"/>
      <c r="AB697" s="420"/>
      <c r="AC697" s="420"/>
      <c r="AD697" s="420"/>
      <c r="AE697" s="425"/>
      <c r="AF697" s="426"/>
    </row>
    <row r="698" spans="1:103" x14ac:dyDescent="0.25">
      <c r="O698" s="427"/>
      <c r="P698" s="427"/>
      <c r="Q698" s="427"/>
      <c r="R698" s="427"/>
      <c r="S698" s="427"/>
      <c r="T698" s="427"/>
      <c r="U698" s="427"/>
      <c r="V698" s="427"/>
      <c r="W698" s="427"/>
      <c r="X698" s="299"/>
      <c r="Y698" s="427"/>
      <c r="Z698" s="427"/>
      <c r="AA698" s="427"/>
      <c r="AB698" s="427"/>
      <c r="AC698" s="427"/>
      <c r="AD698" s="427"/>
      <c r="AE698" s="427"/>
      <c r="AF698" s="427"/>
    </row>
    <row r="699" spans="1:103" x14ac:dyDescent="0.25">
      <c r="O699" s="427"/>
      <c r="P699" s="427"/>
      <c r="Q699" s="427"/>
      <c r="R699" s="427"/>
      <c r="S699" s="427"/>
      <c r="T699" s="427"/>
      <c r="U699" s="427"/>
      <c r="V699" s="427"/>
      <c r="W699" s="427"/>
      <c r="X699" s="299"/>
      <c r="Y699" s="427"/>
      <c r="Z699" s="427"/>
      <c r="AA699" s="427"/>
      <c r="AB699" s="427"/>
      <c r="AC699" s="427"/>
      <c r="AD699" s="427"/>
      <c r="AE699" s="427"/>
      <c r="AF699" s="427"/>
    </row>
    <row r="700" spans="1:103" x14ac:dyDescent="0.25">
      <c r="O700" s="427"/>
      <c r="P700" s="427"/>
      <c r="Q700" s="427"/>
      <c r="R700" s="427"/>
      <c r="S700" s="427"/>
      <c r="T700" s="427"/>
      <c r="U700" s="427"/>
      <c r="V700" s="427"/>
      <c r="W700" s="427"/>
      <c r="X700" s="299"/>
      <c r="Y700" s="427"/>
      <c r="Z700" s="427"/>
      <c r="AA700" s="427"/>
      <c r="AB700" s="427"/>
      <c r="AC700" s="427"/>
      <c r="AD700" s="427"/>
      <c r="AE700" s="427"/>
      <c r="AF700" s="427"/>
    </row>
    <row r="701" spans="1:103" x14ac:dyDescent="0.25">
      <c r="O701" s="427"/>
      <c r="P701" s="427"/>
      <c r="Q701" s="427"/>
      <c r="R701" s="427"/>
      <c r="S701" s="427"/>
      <c r="T701" s="427"/>
      <c r="U701" s="427"/>
      <c r="V701" s="427"/>
      <c r="W701" s="427"/>
      <c r="X701" s="299"/>
      <c r="Y701" s="427"/>
      <c r="Z701" s="427"/>
      <c r="AA701" s="427"/>
      <c r="AB701" s="427"/>
      <c r="AC701" s="427"/>
      <c r="AD701" s="427"/>
      <c r="AE701" s="427"/>
      <c r="AF701" s="427"/>
    </row>
    <row r="702" spans="1:103" x14ac:dyDescent="0.25">
      <c r="O702" s="427"/>
      <c r="P702" s="427"/>
      <c r="Q702" s="427"/>
      <c r="R702" s="427"/>
      <c r="S702" s="427"/>
      <c r="T702" s="427"/>
      <c r="U702" s="427"/>
      <c r="V702" s="427"/>
      <c r="W702" s="427"/>
      <c r="X702" s="299"/>
      <c r="Y702" s="427"/>
      <c r="Z702" s="427"/>
      <c r="AA702" s="427"/>
      <c r="AB702" s="427"/>
      <c r="AC702" s="427"/>
      <c r="AD702" s="427"/>
      <c r="AE702" s="427"/>
      <c r="AF702" s="427"/>
    </row>
    <row r="703" spans="1:103" x14ac:dyDescent="0.25">
      <c r="O703" s="427"/>
      <c r="P703" s="427"/>
      <c r="Q703" s="427"/>
      <c r="R703" s="427"/>
      <c r="S703" s="427"/>
      <c r="T703" s="427"/>
      <c r="U703" s="427"/>
      <c r="V703" s="427"/>
      <c r="W703" s="427"/>
      <c r="X703" s="299"/>
      <c r="Y703" s="427"/>
      <c r="Z703" s="427"/>
      <c r="AA703" s="427"/>
      <c r="AB703" s="427"/>
      <c r="AC703" s="427"/>
      <c r="AD703" s="427"/>
      <c r="AE703" s="427"/>
      <c r="AF703" s="427"/>
    </row>
    <row r="704" spans="1:103" x14ac:dyDescent="0.25">
      <c r="O704" s="427"/>
      <c r="P704" s="427"/>
      <c r="Q704" s="427"/>
      <c r="R704" s="427"/>
      <c r="S704" s="427"/>
      <c r="T704" s="427"/>
      <c r="U704" s="427"/>
      <c r="V704" s="427"/>
      <c r="W704" s="427"/>
      <c r="X704" s="299"/>
      <c r="Y704" s="427"/>
      <c r="Z704" s="427"/>
      <c r="AA704" s="427"/>
      <c r="AB704" s="427"/>
      <c r="AC704" s="427"/>
      <c r="AD704" s="427"/>
      <c r="AE704" s="427"/>
      <c r="AF704" s="427"/>
    </row>
    <row r="705" spans="15:32" x14ac:dyDescent="0.25">
      <c r="O705" s="427"/>
      <c r="P705" s="427"/>
      <c r="Q705" s="427"/>
      <c r="R705" s="427"/>
      <c r="S705" s="427"/>
      <c r="T705" s="427"/>
      <c r="U705" s="427"/>
      <c r="V705" s="427"/>
      <c r="W705" s="427"/>
      <c r="X705" s="299"/>
      <c r="Y705" s="427"/>
      <c r="Z705" s="427"/>
      <c r="AA705" s="427"/>
      <c r="AB705" s="427"/>
      <c r="AC705" s="427"/>
      <c r="AD705" s="427"/>
      <c r="AE705" s="427"/>
      <c r="AF705" s="427"/>
    </row>
    <row r="706" spans="15:32" x14ac:dyDescent="0.25">
      <c r="O706" s="427"/>
      <c r="P706" s="427"/>
      <c r="Q706" s="427"/>
      <c r="R706" s="427"/>
      <c r="S706" s="427"/>
      <c r="T706" s="427"/>
      <c r="U706" s="427"/>
      <c r="V706" s="427"/>
      <c r="W706" s="427"/>
      <c r="X706" s="299"/>
      <c r="Y706" s="427"/>
      <c r="Z706" s="427"/>
      <c r="AA706" s="427"/>
      <c r="AB706" s="427"/>
      <c r="AC706" s="427"/>
      <c r="AD706" s="427"/>
      <c r="AE706" s="427"/>
      <c r="AF706" s="427"/>
    </row>
    <row r="707" spans="15:32" x14ac:dyDescent="0.25">
      <c r="O707" s="427"/>
      <c r="P707" s="427"/>
      <c r="Q707" s="427"/>
      <c r="R707" s="427"/>
      <c r="S707" s="427"/>
      <c r="T707" s="427"/>
      <c r="U707" s="427"/>
      <c r="V707" s="427"/>
      <c r="W707" s="427"/>
      <c r="X707" s="299"/>
      <c r="Y707" s="427"/>
      <c r="Z707" s="427"/>
      <c r="AA707" s="427"/>
      <c r="AB707" s="427"/>
      <c r="AC707" s="427"/>
      <c r="AD707" s="427"/>
      <c r="AE707" s="427"/>
      <c r="AF707" s="427"/>
    </row>
    <row r="708" spans="15:32" x14ac:dyDescent="0.25">
      <c r="O708" s="427"/>
      <c r="P708" s="427"/>
      <c r="Q708" s="427"/>
      <c r="R708" s="427"/>
      <c r="S708" s="427"/>
      <c r="T708" s="427"/>
      <c r="U708" s="427"/>
      <c r="V708" s="427"/>
      <c r="W708" s="427"/>
      <c r="X708" s="299"/>
      <c r="Y708" s="427"/>
      <c r="Z708" s="427"/>
      <c r="AA708" s="427"/>
      <c r="AB708" s="427"/>
      <c r="AC708" s="427"/>
      <c r="AD708" s="427"/>
      <c r="AE708" s="427"/>
      <c r="AF708" s="427"/>
    </row>
    <row r="709" spans="15:32" x14ac:dyDescent="0.25">
      <c r="O709" s="427"/>
      <c r="P709" s="427"/>
      <c r="Q709" s="427"/>
      <c r="R709" s="427"/>
      <c r="S709" s="427"/>
      <c r="T709" s="427"/>
      <c r="U709" s="427"/>
      <c r="V709" s="427"/>
      <c r="W709" s="427"/>
      <c r="X709" s="299"/>
      <c r="Y709" s="427"/>
      <c r="Z709" s="427"/>
      <c r="AA709" s="427"/>
      <c r="AB709" s="427"/>
      <c r="AC709" s="427"/>
      <c r="AD709" s="427"/>
      <c r="AE709" s="427"/>
      <c r="AF709" s="427"/>
    </row>
    <row r="710" spans="15:32" x14ac:dyDescent="0.25">
      <c r="O710" s="427"/>
      <c r="P710" s="427"/>
      <c r="Q710" s="427"/>
      <c r="R710" s="427"/>
      <c r="S710" s="427"/>
      <c r="T710" s="427"/>
      <c r="U710" s="427"/>
      <c r="V710" s="427"/>
      <c r="W710" s="427"/>
      <c r="X710" s="299"/>
      <c r="Y710" s="427"/>
      <c r="Z710" s="427"/>
      <c r="AA710" s="427"/>
      <c r="AB710" s="427"/>
      <c r="AC710" s="427"/>
      <c r="AD710" s="427"/>
      <c r="AE710" s="427"/>
      <c r="AF710" s="427"/>
    </row>
    <row r="711" spans="15:32" x14ac:dyDescent="0.25">
      <c r="O711" s="427"/>
      <c r="P711" s="427"/>
      <c r="Q711" s="427"/>
      <c r="R711" s="427"/>
      <c r="S711" s="427"/>
      <c r="T711" s="427"/>
      <c r="U711" s="427"/>
      <c r="V711" s="427"/>
      <c r="W711" s="427"/>
      <c r="X711" s="299"/>
      <c r="Y711" s="427"/>
      <c r="Z711" s="427"/>
      <c r="AA711" s="427"/>
      <c r="AB711" s="427"/>
      <c r="AC711" s="427"/>
      <c r="AD711" s="427"/>
      <c r="AE711" s="427"/>
      <c r="AF711" s="427"/>
    </row>
    <row r="712" spans="15:32" x14ac:dyDescent="0.25">
      <c r="O712" s="427"/>
      <c r="P712" s="427"/>
      <c r="Q712" s="427"/>
      <c r="R712" s="427"/>
      <c r="S712" s="427"/>
      <c r="T712" s="427"/>
      <c r="U712" s="427"/>
      <c r="V712" s="427"/>
      <c r="W712" s="427"/>
      <c r="X712" s="299"/>
      <c r="Y712" s="427"/>
      <c r="Z712" s="427"/>
      <c r="AA712" s="427"/>
      <c r="AB712" s="427"/>
      <c r="AC712" s="427"/>
      <c r="AD712" s="427"/>
      <c r="AE712" s="427"/>
      <c r="AF712" s="427"/>
    </row>
    <row r="713" spans="15:32" x14ac:dyDescent="0.25">
      <c r="O713" s="427"/>
      <c r="P713" s="427"/>
      <c r="Q713" s="427"/>
      <c r="R713" s="427"/>
      <c r="S713" s="427"/>
      <c r="T713" s="427"/>
      <c r="U713" s="427"/>
      <c r="V713" s="427"/>
      <c r="W713" s="427"/>
      <c r="X713" s="299"/>
      <c r="Y713" s="427"/>
      <c r="Z713" s="427"/>
      <c r="AA713" s="427"/>
      <c r="AB713" s="427"/>
      <c r="AC713" s="427"/>
      <c r="AD713" s="427"/>
      <c r="AE713" s="427"/>
      <c r="AF713" s="427"/>
    </row>
    <row r="714" spans="15:32" x14ac:dyDescent="0.25">
      <c r="O714" s="427"/>
      <c r="P714" s="427"/>
      <c r="Q714" s="427"/>
      <c r="R714" s="427"/>
      <c r="S714" s="427"/>
      <c r="T714" s="427"/>
      <c r="U714" s="427"/>
      <c r="V714" s="427"/>
      <c r="W714" s="427"/>
      <c r="X714" s="299"/>
      <c r="Y714" s="427"/>
      <c r="Z714" s="427"/>
      <c r="AA714" s="427"/>
      <c r="AB714" s="427"/>
      <c r="AC714" s="427"/>
      <c r="AD714" s="427"/>
      <c r="AE714" s="427"/>
      <c r="AF714" s="427"/>
    </row>
    <row r="715" spans="15:32" x14ac:dyDescent="0.25">
      <c r="O715" s="427"/>
      <c r="P715" s="427"/>
      <c r="Q715" s="427"/>
      <c r="R715" s="427"/>
      <c r="S715" s="427"/>
      <c r="T715" s="427"/>
      <c r="U715" s="427"/>
      <c r="V715" s="427"/>
      <c r="W715" s="427"/>
      <c r="X715" s="299"/>
      <c r="Y715" s="427"/>
      <c r="Z715" s="427"/>
      <c r="AA715" s="427"/>
      <c r="AB715" s="427"/>
      <c r="AC715" s="427"/>
      <c r="AD715" s="427"/>
      <c r="AE715" s="427"/>
      <c r="AF715" s="427"/>
    </row>
    <row r="716" spans="15:32" x14ac:dyDescent="0.25">
      <c r="O716" s="427"/>
      <c r="P716" s="427"/>
      <c r="Q716" s="427"/>
      <c r="R716" s="427"/>
      <c r="S716" s="427"/>
      <c r="T716" s="427"/>
      <c r="U716" s="427"/>
      <c r="V716" s="427"/>
      <c r="W716" s="427"/>
      <c r="X716" s="299"/>
      <c r="Y716" s="427"/>
      <c r="Z716" s="427"/>
      <c r="AA716" s="427"/>
      <c r="AB716" s="427"/>
      <c r="AC716" s="427"/>
      <c r="AD716" s="427"/>
      <c r="AE716" s="427"/>
      <c r="AF716" s="427"/>
    </row>
    <row r="717" spans="15:32" x14ac:dyDescent="0.25">
      <c r="O717" s="427"/>
      <c r="P717" s="427"/>
      <c r="Q717" s="427"/>
      <c r="R717" s="427"/>
      <c r="S717" s="427"/>
      <c r="T717" s="427"/>
      <c r="U717" s="427"/>
      <c r="V717" s="427"/>
      <c r="W717" s="427"/>
      <c r="X717" s="299"/>
      <c r="Y717" s="427"/>
      <c r="Z717" s="427"/>
      <c r="AA717" s="427"/>
      <c r="AB717" s="427"/>
      <c r="AC717" s="427"/>
      <c r="AD717" s="427"/>
      <c r="AE717" s="427"/>
      <c r="AF717" s="427"/>
    </row>
    <row r="718" spans="15:32" x14ac:dyDescent="0.25">
      <c r="O718" s="427"/>
      <c r="P718" s="427"/>
      <c r="Q718" s="427"/>
      <c r="R718" s="427"/>
      <c r="S718" s="427"/>
      <c r="T718" s="427"/>
      <c r="U718" s="427"/>
      <c r="V718" s="427"/>
      <c r="W718" s="427"/>
      <c r="X718" s="299"/>
      <c r="Y718" s="427"/>
      <c r="Z718" s="427"/>
      <c r="AA718" s="427"/>
      <c r="AB718" s="427"/>
      <c r="AC718" s="427"/>
      <c r="AD718" s="427"/>
      <c r="AE718" s="427"/>
      <c r="AF718" s="427"/>
    </row>
    <row r="719" spans="15:32" x14ac:dyDescent="0.25">
      <c r="O719" s="427"/>
      <c r="P719" s="427"/>
      <c r="Q719" s="427"/>
      <c r="R719" s="427"/>
      <c r="S719" s="427"/>
      <c r="T719" s="427"/>
      <c r="U719" s="427"/>
      <c r="V719" s="427"/>
      <c r="W719" s="427"/>
      <c r="X719" s="299"/>
      <c r="Y719" s="427"/>
      <c r="Z719" s="427"/>
      <c r="AA719" s="427"/>
      <c r="AB719" s="427"/>
      <c r="AC719" s="427"/>
      <c r="AD719" s="427"/>
      <c r="AE719" s="427"/>
      <c r="AF719" s="427"/>
    </row>
    <row r="720" spans="15:32" x14ac:dyDescent="0.25">
      <c r="O720" s="427"/>
      <c r="P720" s="427"/>
      <c r="Q720" s="427"/>
      <c r="R720" s="427"/>
      <c r="S720" s="427"/>
      <c r="T720" s="427"/>
      <c r="U720" s="427"/>
      <c r="V720" s="427"/>
      <c r="W720" s="427"/>
      <c r="X720" s="299"/>
      <c r="Y720" s="427"/>
      <c r="Z720" s="427"/>
      <c r="AA720" s="427"/>
      <c r="AB720" s="427"/>
      <c r="AC720" s="427"/>
      <c r="AD720" s="427"/>
      <c r="AE720" s="427"/>
      <c r="AF720" s="427"/>
    </row>
    <row r="721" spans="15:32" x14ac:dyDescent="0.25">
      <c r="O721" s="427"/>
      <c r="P721" s="427"/>
      <c r="Q721" s="427"/>
      <c r="R721" s="427"/>
      <c r="S721" s="427"/>
      <c r="T721" s="427"/>
      <c r="U721" s="427"/>
      <c r="V721" s="427"/>
      <c r="W721" s="427"/>
      <c r="X721" s="299"/>
      <c r="Y721" s="427"/>
      <c r="Z721" s="427"/>
      <c r="AA721" s="427"/>
      <c r="AB721" s="427"/>
      <c r="AC721" s="427"/>
      <c r="AD721" s="427"/>
      <c r="AE721" s="427"/>
      <c r="AF721" s="427"/>
    </row>
    <row r="722" spans="15:32" x14ac:dyDescent="0.25">
      <c r="O722" s="427"/>
      <c r="P722" s="427"/>
      <c r="Q722" s="427"/>
      <c r="R722" s="427"/>
      <c r="S722" s="427"/>
      <c r="T722" s="427"/>
      <c r="U722" s="427"/>
      <c r="V722" s="427"/>
      <c r="W722" s="427"/>
      <c r="X722" s="299"/>
      <c r="Y722" s="427"/>
      <c r="Z722" s="427"/>
      <c r="AA722" s="427"/>
      <c r="AB722" s="427"/>
      <c r="AC722" s="427"/>
      <c r="AD722" s="427"/>
      <c r="AE722" s="427"/>
      <c r="AF722" s="427"/>
    </row>
    <row r="723" spans="15:32" x14ac:dyDescent="0.25">
      <c r="O723" s="427"/>
      <c r="P723" s="427"/>
      <c r="Q723" s="427"/>
      <c r="R723" s="427"/>
      <c r="S723" s="427"/>
      <c r="T723" s="427"/>
      <c r="U723" s="427"/>
      <c r="V723" s="427"/>
      <c r="W723" s="427"/>
      <c r="X723" s="299"/>
      <c r="Y723" s="427"/>
      <c r="Z723" s="427"/>
      <c r="AA723" s="427"/>
      <c r="AB723" s="427"/>
      <c r="AC723" s="427"/>
      <c r="AD723" s="427"/>
      <c r="AE723" s="427"/>
      <c r="AF723" s="427"/>
    </row>
    <row r="724" spans="15:32" x14ac:dyDescent="0.25">
      <c r="O724" s="427"/>
      <c r="P724" s="427"/>
      <c r="Q724" s="427"/>
      <c r="R724" s="427"/>
      <c r="S724" s="427"/>
      <c r="T724" s="427"/>
      <c r="U724" s="427"/>
      <c r="V724" s="427"/>
      <c r="W724" s="427"/>
      <c r="X724" s="299"/>
      <c r="Y724" s="427"/>
      <c r="Z724" s="427"/>
      <c r="AA724" s="427"/>
      <c r="AB724" s="427"/>
      <c r="AC724" s="427"/>
      <c r="AD724" s="427"/>
      <c r="AE724" s="427"/>
      <c r="AF724" s="427"/>
    </row>
    <row r="725" spans="15:32" x14ac:dyDescent="0.25">
      <c r="O725" s="427"/>
      <c r="P725" s="427"/>
      <c r="Q725" s="427"/>
      <c r="R725" s="427"/>
      <c r="S725" s="427"/>
      <c r="T725" s="427"/>
      <c r="U725" s="427"/>
      <c r="V725" s="427"/>
      <c r="W725" s="427"/>
      <c r="X725" s="299"/>
      <c r="Y725" s="427"/>
      <c r="Z725" s="427"/>
      <c r="AA725" s="427"/>
      <c r="AB725" s="427"/>
      <c r="AC725" s="427"/>
      <c r="AD725" s="427"/>
      <c r="AE725" s="427"/>
      <c r="AF725" s="427"/>
    </row>
    <row r="726" spans="15:32" x14ac:dyDescent="0.25">
      <c r="O726" s="427"/>
      <c r="P726" s="427"/>
      <c r="Q726" s="427"/>
      <c r="R726" s="427"/>
      <c r="S726" s="427"/>
      <c r="T726" s="427"/>
      <c r="U726" s="427"/>
      <c r="V726" s="427"/>
      <c r="W726" s="427"/>
      <c r="X726" s="299"/>
      <c r="Y726" s="427"/>
      <c r="Z726" s="427"/>
      <c r="AA726" s="427"/>
      <c r="AB726" s="427"/>
      <c r="AC726" s="427"/>
      <c r="AD726" s="427"/>
      <c r="AE726" s="427"/>
      <c r="AF726" s="427"/>
    </row>
    <row r="727" spans="15:32" x14ac:dyDescent="0.25">
      <c r="O727" s="427"/>
      <c r="P727" s="427"/>
      <c r="Q727" s="427"/>
      <c r="R727" s="427"/>
      <c r="S727" s="427"/>
      <c r="T727" s="427"/>
      <c r="U727" s="427"/>
      <c r="V727" s="427"/>
      <c r="W727" s="427"/>
      <c r="X727" s="299"/>
      <c r="Y727" s="427"/>
      <c r="Z727" s="427"/>
      <c r="AA727" s="427"/>
      <c r="AB727" s="427"/>
      <c r="AC727" s="427"/>
      <c r="AD727" s="427"/>
      <c r="AE727" s="427"/>
      <c r="AF727" s="427"/>
    </row>
    <row r="728" spans="15:32" x14ac:dyDescent="0.25">
      <c r="O728" s="427"/>
      <c r="P728" s="427"/>
      <c r="Q728" s="427"/>
      <c r="R728" s="427"/>
      <c r="S728" s="427"/>
      <c r="T728" s="427"/>
      <c r="U728" s="427"/>
      <c r="V728" s="427"/>
      <c r="W728" s="427"/>
      <c r="X728" s="299"/>
      <c r="Y728" s="427"/>
      <c r="Z728" s="427"/>
      <c r="AA728" s="427"/>
      <c r="AB728" s="427"/>
      <c r="AC728" s="427"/>
      <c r="AD728" s="427"/>
      <c r="AE728" s="427"/>
      <c r="AF728" s="427"/>
    </row>
    <row r="729" spans="15:32" x14ac:dyDescent="0.25">
      <c r="O729" s="427"/>
      <c r="P729" s="427"/>
      <c r="Q729" s="427"/>
      <c r="R729" s="427"/>
      <c r="S729" s="427"/>
      <c r="T729" s="427"/>
      <c r="U729" s="427"/>
      <c r="V729" s="427"/>
      <c r="W729" s="427"/>
      <c r="X729" s="299"/>
      <c r="Y729" s="427"/>
      <c r="Z729" s="427"/>
      <c r="AA729" s="427"/>
      <c r="AB729" s="427"/>
      <c r="AC729" s="427"/>
      <c r="AD729" s="427"/>
      <c r="AE729" s="427"/>
      <c r="AF729" s="427"/>
    </row>
    <row r="730" spans="15:32" x14ac:dyDescent="0.25">
      <c r="O730" s="427"/>
      <c r="P730" s="427"/>
      <c r="Q730" s="427"/>
      <c r="R730" s="427"/>
      <c r="S730" s="427"/>
      <c r="T730" s="427"/>
      <c r="U730" s="427"/>
      <c r="V730" s="427"/>
      <c r="W730" s="427"/>
      <c r="X730" s="299"/>
      <c r="Y730" s="427"/>
      <c r="Z730" s="427"/>
      <c r="AA730" s="427"/>
      <c r="AB730" s="427"/>
      <c r="AC730" s="427"/>
      <c r="AD730" s="427"/>
      <c r="AE730" s="427"/>
      <c r="AF730" s="427"/>
    </row>
    <row r="731" spans="15:32" x14ac:dyDescent="0.25">
      <c r="O731" s="427"/>
      <c r="P731" s="427"/>
      <c r="Q731" s="427"/>
      <c r="R731" s="427"/>
      <c r="S731" s="427"/>
      <c r="T731" s="427"/>
      <c r="U731" s="427"/>
      <c r="V731" s="427"/>
      <c r="W731" s="427"/>
      <c r="X731" s="299"/>
      <c r="Y731" s="427"/>
      <c r="Z731" s="427"/>
      <c r="AA731" s="427"/>
      <c r="AB731" s="427"/>
      <c r="AC731" s="427"/>
      <c r="AD731" s="427"/>
      <c r="AE731" s="427"/>
      <c r="AF731" s="427"/>
    </row>
    <row r="732" spans="15:32" x14ac:dyDescent="0.25">
      <c r="O732" s="427"/>
      <c r="P732" s="427"/>
      <c r="Q732" s="427"/>
      <c r="R732" s="427"/>
      <c r="S732" s="427"/>
      <c r="T732" s="427"/>
      <c r="U732" s="427"/>
      <c r="V732" s="427"/>
      <c r="W732" s="427"/>
      <c r="X732" s="299"/>
      <c r="Y732" s="427"/>
      <c r="Z732" s="427"/>
      <c r="AA732" s="427"/>
      <c r="AB732" s="427"/>
      <c r="AC732" s="427"/>
      <c r="AD732" s="427"/>
      <c r="AE732" s="427"/>
      <c r="AF732" s="427"/>
    </row>
    <row r="733" spans="15:32" x14ac:dyDescent="0.25">
      <c r="O733" s="427"/>
      <c r="P733" s="427"/>
      <c r="Q733" s="427"/>
      <c r="R733" s="427"/>
      <c r="S733" s="427"/>
      <c r="T733" s="427"/>
      <c r="U733" s="427"/>
      <c r="V733" s="427"/>
      <c r="W733" s="427"/>
      <c r="X733" s="299"/>
      <c r="Y733" s="427"/>
      <c r="Z733" s="427"/>
      <c r="AA733" s="427"/>
      <c r="AB733" s="427"/>
      <c r="AC733" s="427"/>
      <c r="AD733" s="427"/>
      <c r="AE733" s="427"/>
      <c r="AF733" s="427"/>
    </row>
    <row r="734" spans="15:32" x14ac:dyDescent="0.25">
      <c r="O734" s="427"/>
      <c r="P734" s="427"/>
      <c r="Q734" s="427"/>
      <c r="R734" s="427"/>
      <c r="S734" s="427"/>
      <c r="T734" s="427"/>
      <c r="U734" s="427"/>
      <c r="V734" s="427"/>
      <c r="W734" s="427"/>
      <c r="X734" s="299"/>
      <c r="Y734" s="427"/>
      <c r="Z734" s="427"/>
      <c r="AA734" s="427"/>
      <c r="AB734" s="427"/>
      <c r="AC734" s="427"/>
      <c r="AD734" s="427"/>
      <c r="AE734" s="427"/>
      <c r="AF734" s="427"/>
    </row>
    <row r="735" spans="15:32" x14ac:dyDescent="0.25">
      <c r="O735" s="427"/>
      <c r="P735" s="427"/>
      <c r="Q735" s="427"/>
      <c r="R735" s="427"/>
      <c r="S735" s="427"/>
      <c r="T735" s="427"/>
      <c r="U735" s="427"/>
      <c r="V735" s="427"/>
      <c r="W735" s="427"/>
      <c r="X735" s="299"/>
      <c r="Y735" s="427"/>
      <c r="Z735" s="427"/>
      <c r="AA735" s="427"/>
      <c r="AB735" s="427"/>
      <c r="AC735" s="427"/>
      <c r="AD735" s="427"/>
      <c r="AE735" s="427"/>
      <c r="AF735" s="427"/>
    </row>
    <row r="736" spans="15:32" x14ac:dyDescent="0.25">
      <c r="O736" s="427"/>
      <c r="P736" s="427"/>
      <c r="Q736" s="427"/>
      <c r="R736" s="427"/>
      <c r="S736" s="427"/>
      <c r="T736" s="427"/>
      <c r="U736" s="427"/>
      <c r="V736" s="427"/>
      <c r="W736" s="427"/>
      <c r="X736" s="299"/>
      <c r="Y736" s="427"/>
      <c r="Z736" s="427"/>
      <c r="AA736" s="427"/>
      <c r="AB736" s="427"/>
      <c r="AC736" s="427"/>
      <c r="AD736" s="427"/>
      <c r="AE736" s="427"/>
      <c r="AF736" s="427"/>
    </row>
    <row r="737" spans="15:32" x14ac:dyDescent="0.25">
      <c r="O737" s="427"/>
      <c r="P737" s="427"/>
      <c r="Q737" s="427"/>
      <c r="R737" s="427"/>
      <c r="S737" s="427"/>
      <c r="T737" s="427"/>
      <c r="U737" s="427"/>
      <c r="V737" s="427"/>
      <c r="W737" s="427"/>
      <c r="X737" s="299"/>
      <c r="Y737" s="427"/>
      <c r="Z737" s="427"/>
      <c r="AA737" s="427"/>
      <c r="AB737" s="427"/>
      <c r="AC737" s="427"/>
      <c r="AD737" s="427"/>
      <c r="AE737" s="427"/>
      <c r="AF737" s="427"/>
    </row>
    <row r="738" spans="15:32" x14ac:dyDescent="0.25">
      <c r="O738" s="427"/>
      <c r="P738" s="427"/>
      <c r="Q738" s="427"/>
      <c r="R738" s="427"/>
      <c r="S738" s="427"/>
      <c r="T738" s="427"/>
      <c r="U738" s="427"/>
      <c r="V738" s="427"/>
      <c r="W738" s="427"/>
      <c r="X738" s="299"/>
      <c r="Y738" s="427"/>
      <c r="Z738" s="427"/>
      <c r="AA738" s="427"/>
      <c r="AB738" s="427"/>
      <c r="AC738" s="427"/>
      <c r="AD738" s="427"/>
      <c r="AE738" s="427"/>
      <c r="AF738" s="427"/>
    </row>
    <row r="739" spans="15:32" x14ac:dyDescent="0.25">
      <c r="O739" s="427"/>
      <c r="P739" s="427"/>
      <c r="Q739" s="427"/>
      <c r="R739" s="427"/>
      <c r="S739" s="427"/>
      <c r="T739" s="427"/>
      <c r="U739" s="427"/>
      <c r="V739" s="427"/>
      <c r="W739" s="427"/>
      <c r="X739" s="299"/>
      <c r="Y739" s="427"/>
      <c r="Z739" s="427"/>
      <c r="AA739" s="427"/>
      <c r="AB739" s="427"/>
      <c r="AC739" s="427"/>
      <c r="AD739" s="427"/>
      <c r="AE739" s="427"/>
      <c r="AF739" s="427"/>
    </row>
    <row r="740" spans="15:32" x14ac:dyDescent="0.25">
      <c r="O740" s="427"/>
      <c r="P740" s="427"/>
      <c r="Q740" s="427"/>
      <c r="R740" s="427"/>
      <c r="S740" s="427"/>
      <c r="T740" s="427"/>
      <c r="U740" s="427"/>
      <c r="V740" s="427"/>
      <c r="W740" s="427"/>
      <c r="X740" s="299"/>
      <c r="Y740" s="427"/>
      <c r="Z740" s="427"/>
      <c r="AA740" s="427"/>
      <c r="AB740" s="427"/>
      <c r="AC740" s="427"/>
      <c r="AD740" s="427"/>
      <c r="AE740" s="427"/>
      <c r="AF740" s="427"/>
    </row>
    <row r="741" spans="15:32" x14ac:dyDescent="0.25">
      <c r="O741" s="427"/>
      <c r="P741" s="427"/>
      <c r="Q741" s="427"/>
      <c r="R741" s="427"/>
      <c r="S741" s="427"/>
      <c r="T741" s="427"/>
      <c r="U741" s="427"/>
      <c r="V741" s="427"/>
      <c r="W741" s="427"/>
      <c r="X741" s="299"/>
      <c r="Y741" s="427"/>
      <c r="Z741" s="427"/>
      <c r="AA741" s="427"/>
      <c r="AB741" s="427"/>
      <c r="AC741" s="427"/>
      <c r="AD741" s="427"/>
      <c r="AE741" s="427"/>
      <c r="AF741" s="427"/>
    </row>
    <row r="742" spans="15:32" x14ac:dyDescent="0.25">
      <c r="O742" s="427"/>
      <c r="P742" s="427"/>
      <c r="Q742" s="427"/>
      <c r="R742" s="427"/>
      <c r="S742" s="427"/>
      <c r="T742" s="427"/>
      <c r="U742" s="427"/>
      <c r="V742" s="427"/>
      <c r="W742" s="427"/>
      <c r="X742" s="299"/>
      <c r="Y742" s="427"/>
      <c r="Z742" s="427"/>
      <c r="AA742" s="427"/>
      <c r="AB742" s="427"/>
      <c r="AC742" s="427"/>
      <c r="AD742" s="427"/>
      <c r="AE742" s="427"/>
      <c r="AF742" s="427"/>
    </row>
    <row r="743" spans="15:32" x14ac:dyDescent="0.25">
      <c r="O743" s="427"/>
      <c r="P743" s="427"/>
      <c r="Q743" s="427"/>
      <c r="R743" s="427"/>
      <c r="S743" s="427"/>
      <c r="T743" s="427"/>
      <c r="U743" s="427"/>
      <c r="V743" s="427"/>
      <c r="W743" s="427"/>
      <c r="X743" s="299"/>
      <c r="Y743" s="427"/>
      <c r="Z743" s="427"/>
      <c r="AA743" s="427"/>
      <c r="AB743" s="427"/>
      <c r="AC743" s="427"/>
      <c r="AD743" s="427"/>
      <c r="AE743" s="427"/>
      <c r="AF743" s="427"/>
    </row>
    <row r="744" spans="15:32" x14ac:dyDescent="0.25">
      <c r="O744" s="427"/>
      <c r="P744" s="427"/>
      <c r="Q744" s="427"/>
      <c r="R744" s="427"/>
      <c r="S744" s="427"/>
      <c r="T744" s="427"/>
      <c r="U744" s="427"/>
      <c r="V744" s="427"/>
      <c r="W744" s="427"/>
      <c r="X744" s="299"/>
      <c r="Y744" s="427"/>
      <c r="Z744" s="427"/>
      <c r="AA744" s="427"/>
      <c r="AB744" s="427"/>
      <c r="AC744" s="427"/>
      <c r="AD744" s="427"/>
      <c r="AE744" s="427"/>
      <c r="AF744" s="427"/>
    </row>
    <row r="745" spans="15:32" x14ac:dyDescent="0.25">
      <c r="O745" s="427"/>
      <c r="P745" s="427"/>
      <c r="Q745" s="427"/>
      <c r="R745" s="427"/>
      <c r="S745" s="427"/>
      <c r="T745" s="427"/>
      <c r="U745" s="427"/>
      <c r="V745" s="427"/>
      <c r="W745" s="427"/>
      <c r="X745" s="299"/>
      <c r="Y745" s="427"/>
      <c r="Z745" s="427"/>
      <c r="AA745" s="427"/>
      <c r="AB745" s="427"/>
      <c r="AC745" s="427"/>
      <c r="AD745" s="427"/>
      <c r="AE745" s="427"/>
      <c r="AF745" s="427"/>
    </row>
    <row r="746" spans="15:32" x14ac:dyDescent="0.25">
      <c r="O746" s="427"/>
      <c r="P746" s="427"/>
      <c r="Q746" s="427"/>
      <c r="R746" s="427"/>
      <c r="S746" s="427"/>
      <c r="T746" s="427"/>
      <c r="U746" s="427"/>
      <c r="V746" s="427"/>
      <c r="W746" s="427"/>
      <c r="X746" s="299"/>
      <c r="Y746" s="427"/>
      <c r="Z746" s="427"/>
      <c r="AA746" s="427"/>
      <c r="AB746" s="427"/>
      <c r="AC746" s="427"/>
      <c r="AD746" s="427"/>
      <c r="AE746" s="427"/>
      <c r="AF746" s="427"/>
    </row>
    <row r="747" spans="15:32" x14ac:dyDescent="0.25">
      <c r="O747" s="427"/>
      <c r="P747" s="427"/>
      <c r="Q747" s="427"/>
      <c r="R747" s="427"/>
      <c r="S747" s="427"/>
      <c r="T747" s="427"/>
      <c r="U747" s="427"/>
      <c r="V747" s="427"/>
      <c r="W747" s="427"/>
      <c r="X747" s="299"/>
      <c r="Y747" s="427"/>
      <c r="Z747" s="427"/>
      <c r="AA747" s="427"/>
      <c r="AB747" s="427"/>
      <c r="AC747" s="427"/>
      <c r="AD747" s="427"/>
      <c r="AE747" s="427"/>
      <c r="AF747" s="427"/>
    </row>
    <row r="748" spans="15:32" x14ac:dyDescent="0.25">
      <c r="O748" s="427"/>
      <c r="P748" s="427"/>
      <c r="Q748" s="427"/>
      <c r="R748" s="427"/>
      <c r="S748" s="427"/>
      <c r="T748" s="427"/>
      <c r="U748" s="427"/>
      <c r="V748" s="427"/>
      <c r="W748" s="427"/>
      <c r="X748" s="299"/>
      <c r="Y748" s="427"/>
      <c r="Z748" s="427"/>
      <c r="AA748" s="427"/>
      <c r="AB748" s="427"/>
      <c r="AC748" s="427"/>
      <c r="AD748" s="427"/>
      <c r="AE748" s="427"/>
      <c r="AF748" s="427"/>
    </row>
    <row r="749" spans="15:32" x14ac:dyDescent="0.25">
      <c r="O749" s="427"/>
      <c r="P749" s="427"/>
      <c r="Q749" s="427"/>
      <c r="R749" s="427"/>
      <c r="S749" s="427"/>
      <c r="T749" s="427"/>
      <c r="U749" s="427"/>
      <c r="V749" s="427"/>
      <c r="W749" s="427"/>
      <c r="X749" s="299"/>
      <c r="Y749" s="427"/>
      <c r="Z749" s="427"/>
      <c r="AA749" s="427"/>
      <c r="AB749" s="427"/>
      <c r="AC749" s="427"/>
      <c r="AD749" s="427"/>
      <c r="AE749" s="427"/>
      <c r="AF749" s="427"/>
    </row>
    <row r="750" spans="15:32" x14ac:dyDescent="0.25">
      <c r="O750" s="427"/>
      <c r="P750" s="427"/>
      <c r="Q750" s="427"/>
      <c r="R750" s="427"/>
      <c r="S750" s="427"/>
      <c r="T750" s="427"/>
      <c r="U750" s="427"/>
      <c r="V750" s="427"/>
      <c r="W750" s="427"/>
      <c r="X750" s="299"/>
      <c r="Y750" s="427"/>
      <c r="Z750" s="427"/>
      <c r="AA750" s="427"/>
      <c r="AB750" s="427"/>
      <c r="AC750" s="427"/>
      <c r="AD750" s="427"/>
      <c r="AE750" s="427"/>
      <c r="AF750" s="427"/>
    </row>
    <row r="751" spans="15:32" x14ac:dyDescent="0.25">
      <c r="O751" s="427"/>
      <c r="P751" s="427"/>
      <c r="Q751" s="427"/>
      <c r="R751" s="427"/>
      <c r="S751" s="427"/>
      <c r="T751" s="427"/>
      <c r="U751" s="427"/>
      <c r="V751" s="427"/>
      <c r="W751" s="427"/>
      <c r="X751" s="299"/>
      <c r="Y751" s="427"/>
      <c r="Z751" s="427"/>
      <c r="AA751" s="427"/>
      <c r="AB751" s="427"/>
      <c r="AC751" s="427"/>
      <c r="AD751" s="427"/>
      <c r="AE751" s="427"/>
      <c r="AF751" s="427"/>
    </row>
    <row r="752" spans="15:32" x14ac:dyDescent="0.25">
      <c r="O752" s="427"/>
      <c r="P752" s="427"/>
      <c r="Q752" s="427"/>
      <c r="R752" s="427"/>
      <c r="S752" s="427"/>
      <c r="T752" s="427"/>
      <c r="U752" s="427"/>
      <c r="V752" s="427"/>
      <c r="W752" s="427"/>
      <c r="X752" s="299"/>
      <c r="Y752" s="427"/>
      <c r="Z752" s="427"/>
      <c r="AA752" s="427"/>
      <c r="AB752" s="427"/>
      <c r="AC752" s="427"/>
      <c r="AD752" s="427"/>
      <c r="AE752" s="427"/>
      <c r="AF752" s="427"/>
    </row>
    <row r="753" spans="15:32" x14ac:dyDescent="0.25">
      <c r="O753" s="427"/>
      <c r="P753" s="427"/>
      <c r="Q753" s="427"/>
      <c r="R753" s="427"/>
      <c r="S753" s="427"/>
      <c r="T753" s="427"/>
      <c r="U753" s="427"/>
      <c r="V753" s="427"/>
      <c r="W753" s="427"/>
      <c r="X753" s="299"/>
      <c r="Y753" s="427"/>
      <c r="Z753" s="427"/>
      <c r="AA753" s="427"/>
      <c r="AB753" s="427"/>
      <c r="AC753" s="427"/>
      <c r="AD753" s="427"/>
      <c r="AE753" s="427"/>
      <c r="AF753" s="427"/>
    </row>
    <row r="754" spans="15:32" x14ac:dyDescent="0.25">
      <c r="O754" s="427"/>
      <c r="P754" s="427"/>
      <c r="Q754" s="427"/>
      <c r="R754" s="427"/>
      <c r="S754" s="427"/>
      <c r="T754" s="427"/>
      <c r="U754" s="427"/>
      <c r="V754" s="427"/>
      <c r="W754" s="427"/>
      <c r="X754" s="299"/>
      <c r="Y754" s="427"/>
      <c r="Z754" s="427"/>
      <c r="AA754" s="427"/>
      <c r="AB754" s="427"/>
      <c r="AC754" s="427"/>
      <c r="AD754" s="427"/>
      <c r="AE754" s="427"/>
      <c r="AF754" s="427"/>
    </row>
    <row r="755" spans="15:32" x14ac:dyDescent="0.25">
      <c r="O755" s="427"/>
      <c r="P755" s="427"/>
      <c r="Q755" s="427"/>
      <c r="R755" s="427"/>
      <c r="S755" s="427"/>
      <c r="T755" s="427"/>
      <c r="U755" s="427"/>
      <c r="V755" s="427"/>
      <c r="W755" s="427"/>
      <c r="X755" s="299"/>
      <c r="Y755" s="427"/>
      <c r="Z755" s="427"/>
      <c r="AA755" s="427"/>
      <c r="AB755" s="427"/>
      <c r="AC755" s="427"/>
      <c r="AD755" s="427"/>
      <c r="AE755" s="427"/>
      <c r="AF755" s="427"/>
    </row>
    <row r="756" spans="15:32" x14ac:dyDescent="0.25">
      <c r="O756" s="427"/>
      <c r="P756" s="427"/>
      <c r="Q756" s="427"/>
      <c r="R756" s="427"/>
      <c r="S756" s="427"/>
      <c r="T756" s="427"/>
      <c r="U756" s="427"/>
      <c r="V756" s="427"/>
      <c r="W756" s="427"/>
      <c r="X756" s="299"/>
      <c r="Y756" s="427"/>
      <c r="Z756" s="427"/>
      <c r="AA756" s="427"/>
      <c r="AB756" s="427"/>
      <c r="AC756" s="427"/>
      <c r="AD756" s="427"/>
      <c r="AE756" s="427"/>
      <c r="AF756" s="427"/>
    </row>
    <row r="757" spans="15:32" x14ac:dyDescent="0.25">
      <c r="O757" s="427"/>
      <c r="P757" s="427"/>
      <c r="Q757" s="427"/>
      <c r="R757" s="427"/>
      <c r="S757" s="427"/>
      <c r="T757" s="427"/>
      <c r="U757" s="427"/>
      <c r="V757" s="427"/>
      <c r="W757" s="427"/>
      <c r="X757" s="299"/>
      <c r="Y757" s="427"/>
      <c r="Z757" s="427"/>
      <c r="AA757" s="427"/>
      <c r="AB757" s="427"/>
      <c r="AC757" s="427"/>
      <c r="AD757" s="427"/>
      <c r="AE757" s="427"/>
      <c r="AF757" s="427"/>
    </row>
    <row r="758" spans="15:32" x14ac:dyDescent="0.25">
      <c r="O758" s="427"/>
      <c r="P758" s="427"/>
      <c r="Q758" s="427"/>
      <c r="R758" s="427"/>
      <c r="S758" s="427"/>
      <c r="T758" s="427"/>
      <c r="U758" s="427"/>
      <c r="V758" s="427"/>
      <c r="W758" s="427"/>
      <c r="X758" s="299"/>
      <c r="Y758" s="427"/>
      <c r="Z758" s="427"/>
      <c r="AA758" s="427"/>
      <c r="AB758" s="427"/>
      <c r="AC758" s="427"/>
      <c r="AD758" s="427"/>
      <c r="AE758" s="427"/>
      <c r="AF758" s="427"/>
    </row>
    <row r="759" spans="15:32" x14ac:dyDescent="0.25">
      <c r="O759" s="427"/>
      <c r="P759" s="427"/>
      <c r="Q759" s="427"/>
      <c r="R759" s="427"/>
      <c r="S759" s="427"/>
      <c r="T759" s="427"/>
      <c r="U759" s="427"/>
      <c r="V759" s="427"/>
      <c r="W759" s="427"/>
      <c r="X759" s="299"/>
      <c r="Y759" s="427"/>
      <c r="Z759" s="427"/>
      <c r="AA759" s="427"/>
      <c r="AB759" s="427"/>
      <c r="AC759" s="427"/>
      <c r="AD759" s="427"/>
      <c r="AE759" s="427"/>
      <c r="AF759" s="427"/>
    </row>
    <row r="760" spans="15:32" x14ac:dyDescent="0.25">
      <c r="O760" s="427"/>
      <c r="P760" s="427"/>
      <c r="Q760" s="427"/>
      <c r="R760" s="427"/>
      <c r="S760" s="427"/>
      <c r="T760" s="427"/>
      <c r="U760" s="427"/>
      <c r="V760" s="427"/>
      <c r="W760" s="427"/>
      <c r="X760" s="299"/>
      <c r="Y760" s="427"/>
      <c r="Z760" s="427"/>
      <c r="AA760" s="427"/>
      <c r="AB760" s="427"/>
      <c r="AC760" s="427"/>
      <c r="AD760" s="427"/>
      <c r="AE760" s="427"/>
      <c r="AF760" s="427"/>
    </row>
    <row r="761" spans="15:32" x14ac:dyDescent="0.25">
      <c r="O761" s="427"/>
      <c r="P761" s="427"/>
      <c r="Q761" s="427"/>
      <c r="R761" s="427"/>
      <c r="S761" s="427"/>
      <c r="T761" s="427"/>
      <c r="U761" s="427"/>
      <c r="V761" s="427"/>
      <c r="W761" s="427"/>
      <c r="X761" s="299"/>
      <c r="Y761" s="427"/>
      <c r="Z761" s="427"/>
      <c r="AA761" s="427"/>
      <c r="AB761" s="427"/>
      <c r="AC761" s="427"/>
      <c r="AD761" s="427"/>
      <c r="AE761" s="427"/>
      <c r="AF761" s="427"/>
    </row>
    <row r="762" spans="15:32" x14ac:dyDescent="0.25">
      <c r="O762" s="427"/>
      <c r="P762" s="427"/>
      <c r="Q762" s="427"/>
      <c r="R762" s="427"/>
      <c r="S762" s="427"/>
      <c r="T762" s="427"/>
      <c r="U762" s="427"/>
      <c r="V762" s="427"/>
      <c r="W762" s="427"/>
      <c r="X762" s="299"/>
      <c r="Y762" s="427"/>
      <c r="Z762" s="427"/>
      <c r="AA762" s="427"/>
      <c r="AB762" s="427"/>
      <c r="AC762" s="427"/>
      <c r="AD762" s="427"/>
      <c r="AE762" s="427"/>
      <c r="AF762" s="427"/>
    </row>
    <row r="763" spans="15:32" x14ac:dyDescent="0.25">
      <c r="O763" s="427"/>
      <c r="P763" s="427"/>
      <c r="Q763" s="427"/>
      <c r="R763" s="427"/>
      <c r="S763" s="427"/>
      <c r="T763" s="427"/>
      <c r="U763" s="427"/>
      <c r="V763" s="427"/>
      <c r="W763" s="427"/>
      <c r="X763" s="299"/>
      <c r="Y763" s="427"/>
      <c r="Z763" s="427"/>
      <c r="AA763" s="427"/>
      <c r="AB763" s="427"/>
      <c r="AC763" s="427"/>
      <c r="AD763" s="427"/>
      <c r="AE763" s="427"/>
      <c r="AF763" s="427"/>
    </row>
    <row r="764" spans="15:32" x14ac:dyDescent="0.25">
      <c r="O764" s="427"/>
      <c r="P764" s="427"/>
      <c r="Q764" s="427"/>
      <c r="R764" s="427"/>
      <c r="S764" s="427"/>
      <c r="T764" s="427"/>
      <c r="U764" s="427"/>
      <c r="V764" s="427"/>
      <c r="W764" s="427"/>
      <c r="X764" s="299"/>
      <c r="Y764" s="427"/>
      <c r="Z764" s="427"/>
      <c r="AA764" s="427"/>
      <c r="AB764" s="427"/>
      <c r="AC764" s="427"/>
      <c r="AD764" s="427"/>
      <c r="AE764" s="427"/>
      <c r="AF764" s="427"/>
    </row>
    <row r="765" spans="15:32" x14ac:dyDescent="0.25">
      <c r="O765" s="427"/>
      <c r="P765" s="427"/>
      <c r="Q765" s="427"/>
      <c r="R765" s="427"/>
      <c r="S765" s="427"/>
      <c r="T765" s="427"/>
      <c r="U765" s="427"/>
      <c r="V765" s="427"/>
      <c r="W765" s="427"/>
      <c r="X765" s="299"/>
      <c r="Y765" s="427"/>
      <c r="Z765" s="427"/>
      <c r="AA765" s="427"/>
      <c r="AB765" s="427"/>
      <c r="AC765" s="427"/>
      <c r="AD765" s="427"/>
      <c r="AE765" s="427"/>
      <c r="AF765" s="427"/>
    </row>
    <row r="766" spans="15:32" x14ac:dyDescent="0.25">
      <c r="O766" s="427"/>
      <c r="P766" s="427"/>
      <c r="Q766" s="427"/>
      <c r="R766" s="427"/>
      <c r="S766" s="427"/>
      <c r="T766" s="427"/>
      <c r="U766" s="427"/>
      <c r="V766" s="427"/>
      <c r="W766" s="427"/>
      <c r="X766" s="299"/>
      <c r="Y766" s="427"/>
      <c r="Z766" s="427"/>
      <c r="AA766" s="427"/>
      <c r="AB766" s="427"/>
      <c r="AC766" s="427"/>
      <c r="AD766" s="427"/>
      <c r="AE766" s="427"/>
      <c r="AF766" s="427"/>
    </row>
    <row r="767" spans="15:32" x14ac:dyDescent="0.25">
      <c r="O767" s="427"/>
      <c r="P767" s="427"/>
      <c r="Q767" s="427"/>
      <c r="R767" s="427"/>
      <c r="S767" s="427"/>
      <c r="T767" s="427"/>
      <c r="U767" s="427"/>
      <c r="V767" s="427"/>
      <c r="W767" s="427"/>
      <c r="X767" s="299"/>
      <c r="Y767" s="427"/>
      <c r="Z767" s="427"/>
      <c r="AA767" s="427"/>
      <c r="AB767" s="427"/>
      <c r="AC767" s="427"/>
      <c r="AD767" s="427"/>
      <c r="AE767" s="427"/>
      <c r="AF767" s="427"/>
    </row>
    <row r="768" spans="15:32" x14ac:dyDescent="0.25">
      <c r="O768" s="427"/>
      <c r="P768" s="427"/>
      <c r="Q768" s="427"/>
      <c r="R768" s="427"/>
      <c r="S768" s="427"/>
      <c r="T768" s="427"/>
      <c r="U768" s="427"/>
      <c r="V768" s="427"/>
      <c r="W768" s="427"/>
      <c r="X768" s="299"/>
      <c r="Y768" s="427"/>
      <c r="Z768" s="427"/>
      <c r="AA768" s="427"/>
      <c r="AB768" s="427"/>
      <c r="AC768" s="427"/>
      <c r="AD768" s="427"/>
      <c r="AE768" s="427"/>
      <c r="AF768" s="427"/>
    </row>
    <row r="769" spans="15:32" x14ac:dyDescent="0.25">
      <c r="O769" s="427"/>
      <c r="P769" s="427"/>
      <c r="Q769" s="427"/>
      <c r="R769" s="427"/>
      <c r="S769" s="427"/>
      <c r="T769" s="427"/>
      <c r="U769" s="427"/>
      <c r="V769" s="427"/>
      <c r="W769" s="427"/>
      <c r="X769" s="299"/>
      <c r="Y769" s="427"/>
      <c r="Z769" s="427"/>
      <c r="AA769" s="427"/>
      <c r="AB769" s="427"/>
      <c r="AC769" s="427"/>
      <c r="AD769" s="427"/>
      <c r="AE769" s="427"/>
      <c r="AF769" s="427"/>
    </row>
    <row r="770" spans="15:32" x14ac:dyDescent="0.25">
      <c r="O770" s="427"/>
      <c r="P770" s="427"/>
      <c r="Q770" s="427"/>
      <c r="R770" s="427"/>
      <c r="S770" s="427"/>
      <c r="T770" s="427"/>
      <c r="U770" s="427"/>
      <c r="V770" s="427"/>
      <c r="W770" s="427"/>
      <c r="X770" s="299"/>
      <c r="Y770" s="427"/>
      <c r="Z770" s="427"/>
      <c r="AA770" s="427"/>
      <c r="AB770" s="427"/>
      <c r="AC770" s="427"/>
      <c r="AD770" s="427"/>
      <c r="AE770" s="427"/>
      <c r="AF770" s="427"/>
    </row>
    <row r="771" spans="15:32" x14ac:dyDescent="0.25">
      <c r="O771" s="427"/>
      <c r="P771" s="427"/>
      <c r="Q771" s="427"/>
      <c r="R771" s="427"/>
      <c r="S771" s="427"/>
      <c r="T771" s="427"/>
      <c r="U771" s="427"/>
      <c r="V771" s="427"/>
      <c r="W771" s="427"/>
      <c r="X771" s="299"/>
      <c r="Y771" s="427"/>
      <c r="Z771" s="427"/>
      <c r="AA771" s="427"/>
      <c r="AB771" s="427"/>
      <c r="AC771" s="427"/>
      <c r="AD771" s="427"/>
      <c r="AE771" s="427"/>
      <c r="AF771" s="427"/>
    </row>
    <row r="772" spans="15:32" x14ac:dyDescent="0.25">
      <c r="O772" s="427"/>
      <c r="P772" s="427"/>
      <c r="Q772" s="427"/>
      <c r="R772" s="427"/>
      <c r="S772" s="427"/>
      <c r="T772" s="427"/>
      <c r="U772" s="427"/>
      <c r="V772" s="427"/>
      <c r="W772" s="427"/>
      <c r="X772" s="299"/>
      <c r="Y772" s="427"/>
      <c r="Z772" s="427"/>
      <c r="AA772" s="427"/>
      <c r="AB772" s="427"/>
      <c r="AC772" s="427"/>
      <c r="AD772" s="427"/>
      <c r="AE772" s="427"/>
      <c r="AF772" s="427"/>
    </row>
    <row r="773" spans="15:32" x14ac:dyDescent="0.25">
      <c r="O773" s="427"/>
      <c r="P773" s="427"/>
      <c r="Q773" s="427"/>
      <c r="R773" s="427"/>
      <c r="S773" s="427"/>
      <c r="T773" s="427"/>
      <c r="U773" s="427"/>
      <c r="V773" s="427"/>
      <c r="W773" s="427"/>
      <c r="X773" s="299"/>
      <c r="Y773" s="427"/>
      <c r="Z773" s="427"/>
      <c r="AA773" s="427"/>
      <c r="AB773" s="427"/>
      <c r="AC773" s="427"/>
      <c r="AD773" s="427"/>
      <c r="AE773" s="427"/>
      <c r="AF773" s="427"/>
    </row>
    <row r="774" spans="15:32" x14ac:dyDescent="0.25">
      <c r="O774" s="427"/>
      <c r="P774" s="427"/>
      <c r="Q774" s="427"/>
      <c r="R774" s="427"/>
      <c r="S774" s="427"/>
      <c r="T774" s="427"/>
      <c r="U774" s="427"/>
      <c r="V774" s="427"/>
      <c r="W774" s="427"/>
      <c r="X774" s="299"/>
      <c r="Y774" s="427"/>
      <c r="Z774" s="427"/>
      <c r="AA774" s="427"/>
      <c r="AB774" s="427"/>
      <c r="AC774" s="427"/>
      <c r="AD774" s="427"/>
      <c r="AE774" s="427"/>
      <c r="AF774" s="427"/>
    </row>
    <row r="775" spans="15:32" x14ac:dyDescent="0.25">
      <c r="O775" s="427"/>
      <c r="P775" s="427"/>
      <c r="Q775" s="427"/>
      <c r="R775" s="427"/>
      <c r="S775" s="427"/>
      <c r="T775" s="427"/>
      <c r="U775" s="427"/>
      <c r="V775" s="427"/>
      <c r="W775" s="427"/>
      <c r="X775" s="299"/>
      <c r="Y775" s="427"/>
      <c r="Z775" s="427"/>
      <c r="AA775" s="427"/>
      <c r="AB775" s="427"/>
      <c r="AC775" s="427"/>
      <c r="AD775" s="427"/>
      <c r="AE775" s="427"/>
      <c r="AF775" s="427"/>
    </row>
    <row r="776" spans="15:32" x14ac:dyDescent="0.25">
      <c r="O776" s="427"/>
      <c r="P776" s="427"/>
      <c r="Q776" s="427"/>
      <c r="R776" s="427"/>
      <c r="S776" s="427"/>
      <c r="T776" s="427"/>
      <c r="U776" s="427"/>
      <c r="V776" s="427"/>
      <c r="W776" s="427"/>
      <c r="X776" s="299"/>
      <c r="Y776" s="427"/>
      <c r="Z776" s="427"/>
      <c r="AA776" s="427"/>
      <c r="AB776" s="427"/>
      <c r="AC776" s="427"/>
      <c r="AD776" s="427"/>
      <c r="AE776" s="427"/>
      <c r="AF776" s="427"/>
    </row>
    <row r="777" spans="15:32" x14ac:dyDescent="0.25">
      <c r="O777" s="427"/>
      <c r="P777" s="427"/>
      <c r="Q777" s="427"/>
      <c r="R777" s="427"/>
      <c r="S777" s="427"/>
      <c r="T777" s="427"/>
      <c r="U777" s="427"/>
      <c r="V777" s="427"/>
      <c r="W777" s="427"/>
      <c r="X777" s="299"/>
      <c r="Y777" s="427"/>
      <c r="Z777" s="427"/>
      <c r="AA777" s="427"/>
      <c r="AB777" s="427"/>
      <c r="AC777" s="427"/>
      <c r="AD777" s="427"/>
      <c r="AE777" s="427"/>
      <c r="AF777" s="427"/>
    </row>
    <row r="778" spans="15:32" x14ac:dyDescent="0.25">
      <c r="O778" s="427"/>
      <c r="P778" s="427"/>
      <c r="Q778" s="427"/>
      <c r="R778" s="427"/>
      <c r="S778" s="427"/>
      <c r="T778" s="427"/>
      <c r="U778" s="427"/>
      <c r="V778" s="427"/>
      <c r="W778" s="427"/>
      <c r="X778" s="299"/>
      <c r="Y778" s="427"/>
      <c r="Z778" s="427"/>
      <c r="AA778" s="427"/>
      <c r="AB778" s="427"/>
      <c r="AC778" s="427"/>
      <c r="AD778" s="427"/>
      <c r="AE778" s="427"/>
      <c r="AF778" s="427"/>
    </row>
    <row r="779" spans="15:32" x14ac:dyDescent="0.25">
      <c r="O779" s="427"/>
      <c r="P779" s="427"/>
      <c r="Q779" s="427"/>
      <c r="R779" s="427"/>
      <c r="S779" s="427"/>
      <c r="T779" s="427"/>
      <c r="U779" s="427"/>
      <c r="V779" s="427"/>
      <c r="W779" s="427"/>
      <c r="X779" s="299"/>
      <c r="Y779" s="427"/>
      <c r="Z779" s="427"/>
      <c r="AA779" s="427"/>
      <c r="AB779" s="427"/>
      <c r="AC779" s="427"/>
      <c r="AD779" s="427"/>
      <c r="AE779" s="427"/>
      <c r="AF779" s="427"/>
    </row>
    <row r="780" spans="15:32" x14ac:dyDescent="0.25">
      <c r="O780" s="427"/>
      <c r="P780" s="427"/>
      <c r="Q780" s="427"/>
      <c r="R780" s="427"/>
      <c r="S780" s="427"/>
      <c r="T780" s="427"/>
      <c r="U780" s="427"/>
      <c r="V780" s="427"/>
      <c r="W780" s="427"/>
      <c r="X780" s="299"/>
      <c r="Y780" s="427"/>
      <c r="Z780" s="427"/>
      <c r="AA780" s="427"/>
      <c r="AB780" s="427"/>
      <c r="AC780" s="427"/>
      <c r="AD780" s="427"/>
      <c r="AE780" s="427"/>
      <c r="AF780" s="427"/>
    </row>
    <row r="781" spans="15:32" x14ac:dyDescent="0.25">
      <c r="O781" s="427"/>
      <c r="P781" s="427"/>
      <c r="Q781" s="427"/>
      <c r="R781" s="427"/>
      <c r="S781" s="427"/>
      <c r="T781" s="427"/>
      <c r="U781" s="427"/>
      <c r="V781" s="427"/>
      <c r="W781" s="427"/>
      <c r="X781" s="299"/>
      <c r="Y781" s="427"/>
      <c r="Z781" s="427"/>
      <c r="AA781" s="427"/>
      <c r="AB781" s="427"/>
      <c r="AC781" s="427"/>
      <c r="AD781" s="427"/>
      <c r="AE781" s="427"/>
      <c r="AF781" s="427"/>
    </row>
    <row r="782" spans="15:32" x14ac:dyDescent="0.25">
      <c r="O782" s="427"/>
      <c r="P782" s="427"/>
      <c r="Q782" s="427"/>
      <c r="R782" s="427"/>
      <c r="S782" s="427"/>
      <c r="T782" s="427"/>
      <c r="U782" s="427"/>
      <c r="V782" s="427"/>
      <c r="W782" s="427"/>
      <c r="X782" s="299"/>
      <c r="Y782" s="427"/>
      <c r="Z782" s="427"/>
      <c r="AA782" s="427"/>
      <c r="AB782" s="427"/>
      <c r="AC782" s="427"/>
      <c r="AD782" s="427"/>
      <c r="AE782" s="427"/>
      <c r="AF782" s="427"/>
    </row>
    <row r="783" spans="15:32" x14ac:dyDescent="0.25">
      <c r="O783" s="427"/>
      <c r="P783" s="427"/>
      <c r="Q783" s="427"/>
      <c r="R783" s="427"/>
      <c r="S783" s="427"/>
      <c r="T783" s="427"/>
      <c r="U783" s="427"/>
      <c r="V783" s="427"/>
      <c r="W783" s="427"/>
      <c r="X783" s="299"/>
      <c r="Y783" s="427"/>
      <c r="Z783" s="427"/>
      <c r="AA783" s="427"/>
      <c r="AB783" s="427"/>
      <c r="AC783" s="427"/>
      <c r="AD783" s="427"/>
      <c r="AE783" s="427"/>
      <c r="AF783" s="427"/>
    </row>
    <row r="784" spans="15:32" x14ac:dyDescent="0.25">
      <c r="O784" s="427"/>
      <c r="P784" s="427"/>
      <c r="Q784" s="427"/>
      <c r="R784" s="427"/>
      <c r="S784" s="427"/>
      <c r="T784" s="427"/>
      <c r="U784" s="427"/>
      <c r="V784" s="427"/>
      <c r="W784" s="427"/>
      <c r="X784" s="299"/>
      <c r="Y784" s="427"/>
      <c r="Z784" s="427"/>
      <c r="AA784" s="427"/>
      <c r="AB784" s="427"/>
      <c r="AC784" s="427"/>
      <c r="AD784" s="427"/>
      <c r="AE784" s="427"/>
      <c r="AF784" s="427"/>
    </row>
    <row r="785" spans="15:32" x14ac:dyDescent="0.25">
      <c r="O785" s="427"/>
      <c r="P785" s="427"/>
      <c r="Q785" s="427"/>
      <c r="R785" s="427"/>
      <c r="S785" s="427"/>
      <c r="T785" s="427"/>
      <c r="U785" s="427"/>
      <c r="V785" s="427"/>
      <c r="W785" s="427"/>
      <c r="X785" s="299"/>
      <c r="Y785" s="427"/>
      <c r="Z785" s="427"/>
      <c r="AA785" s="427"/>
      <c r="AB785" s="427"/>
      <c r="AC785" s="427"/>
      <c r="AD785" s="427"/>
      <c r="AE785" s="427"/>
      <c r="AF785" s="427"/>
    </row>
    <row r="786" spans="15:32" x14ac:dyDescent="0.25">
      <c r="O786" s="427"/>
      <c r="P786" s="427"/>
      <c r="Q786" s="427"/>
      <c r="R786" s="427"/>
      <c r="S786" s="427"/>
      <c r="T786" s="427"/>
      <c r="U786" s="427"/>
      <c r="V786" s="427"/>
      <c r="W786" s="427"/>
      <c r="X786" s="299"/>
      <c r="Y786" s="427"/>
      <c r="Z786" s="427"/>
      <c r="AA786" s="427"/>
      <c r="AB786" s="427"/>
      <c r="AC786" s="427"/>
      <c r="AD786" s="427"/>
      <c r="AE786" s="427"/>
      <c r="AF786" s="427"/>
    </row>
    <row r="787" spans="15:32" x14ac:dyDescent="0.25">
      <c r="O787" s="427"/>
      <c r="P787" s="427"/>
      <c r="Q787" s="427"/>
      <c r="R787" s="427"/>
      <c r="S787" s="427"/>
      <c r="T787" s="427"/>
      <c r="U787" s="427"/>
      <c r="V787" s="427"/>
      <c r="W787" s="427"/>
      <c r="X787" s="299"/>
      <c r="Y787" s="427"/>
      <c r="Z787" s="427"/>
      <c r="AA787" s="427"/>
      <c r="AB787" s="427"/>
      <c r="AC787" s="427"/>
      <c r="AD787" s="427"/>
      <c r="AE787" s="427"/>
      <c r="AF787" s="427"/>
    </row>
    <row r="788" spans="15:32" x14ac:dyDescent="0.25">
      <c r="O788" s="427"/>
      <c r="P788" s="427"/>
      <c r="Q788" s="427"/>
      <c r="R788" s="427"/>
      <c r="S788" s="427"/>
      <c r="T788" s="427"/>
      <c r="U788" s="427"/>
      <c r="V788" s="427"/>
      <c r="W788" s="427"/>
      <c r="X788" s="299"/>
      <c r="Y788" s="427"/>
      <c r="Z788" s="427"/>
      <c r="AA788" s="427"/>
      <c r="AB788" s="427"/>
      <c r="AC788" s="427"/>
      <c r="AD788" s="427"/>
      <c r="AE788" s="427"/>
      <c r="AF788" s="427"/>
    </row>
    <row r="789" spans="15:32" x14ac:dyDescent="0.25">
      <c r="O789" s="427"/>
      <c r="P789" s="427"/>
      <c r="Q789" s="427"/>
      <c r="R789" s="427"/>
      <c r="S789" s="427"/>
      <c r="T789" s="427"/>
      <c r="U789" s="427"/>
      <c r="V789" s="427"/>
      <c r="W789" s="427"/>
      <c r="X789" s="299"/>
      <c r="Y789" s="427"/>
      <c r="Z789" s="427"/>
      <c r="AA789" s="427"/>
      <c r="AB789" s="427"/>
      <c r="AC789" s="427"/>
      <c r="AD789" s="427"/>
      <c r="AE789" s="427"/>
      <c r="AF789" s="427"/>
    </row>
    <row r="790" spans="15:32" x14ac:dyDescent="0.25">
      <c r="O790" s="427"/>
      <c r="P790" s="427"/>
      <c r="Q790" s="427"/>
      <c r="R790" s="427"/>
      <c r="S790" s="427"/>
      <c r="T790" s="427"/>
      <c r="U790" s="427"/>
      <c r="V790" s="427"/>
      <c r="W790" s="427"/>
      <c r="X790" s="299"/>
      <c r="Y790" s="427"/>
      <c r="Z790" s="427"/>
      <c r="AA790" s="427"/>
      <c r="AB790" s="427"/>
      <c r="AC790" s="427"/>
      <c r="AD790" s="427"/>
      <c r="AE790" s="427"/>
      <c r="AF790" s="427"/>
    </row>
    <row r="791" spans="15:32" x14ac:dyDescent="0.25">
      <c r="O791" s="427"/>
      <c r="P791" s="427"/>
      <c r="Q791" s="427"/>
      <c r="R791" s="427"/>
      <c r="S791" s="427"/>
      <c r="T791" s="427"/>
      <c r="U791" s="427"/>
      <c r="V791" s="427"/>
      <c r="W791" s="427"/>
      <c r="X791" s="299"/>
      <c r="Y791" s="427"/>
      <c r="Z791" s="427"/>
      <c r="AA791" s="427"/>
      <c r="AB791" s="427"/>
      <c r="AC791" s="427"/>
      <c r="AD791" s="427"/>
      <c r="AE791" s="427"/>
      <c r="AF791" s="427"/>
    </row>
    <row r="792" spans="15:32" x14ac:dyDescent="0.25">
      <c r="O792" s="427"/>
      <c r="P792" s="427"/>
      <c r="Q792" s="427"/>
      <c r="R792" s="427"/>
      <c r="S792" s="427"/>
      <c r="T792" s="427"/>
      <c r="U792" s="427"/>
      <c r="V792" s="427"/>
      <c r="W792" s="427"/>
      <c r="X792" s="299"/>
      <c r="Y792" s="427"/>
      <c r="Z792" s="427"/>
      <c r="AA792" s="427"/>
      <c r="AB792" s="427"/>
      <c r="AC792" s="427"/>
      <c r="AD792" s="427"/>
      <c r="AE792" s="427"/>
      <c r="AF792" s="427"/>
    </row>
    <row r="793" spans="15:32" x14ac:dyDescent="0.25">
      <c r="O793" s="427"/>
      <c r="P793" s="427"/>
      <c r="Q793" s="427"/>
      <c r="R793" s="427"/>
      <c r="S793" s="427"/>
      <c r="T793" s="427"/>
      <c r="U793" s="427"/>
      <c r="V793" s="427"/>
      <c r="W793" s="427"/>
      <c r="X793" s="299"/>
      <c r="Y793" s="427"/>
      <c r="Z793" s="427"/>
      <c r="AA793" s="427"/>
      <c r="AB793" s="427"/>
      <c r="AC793" s="427"/>
      <c r="AD793" s="427"/>
      <c r="AE793" s="427"/>
      <c r="AF793" s="427"/>
    </row>
    <row r="794" spans="15:32" x14ac:dyDescent="0.25">
      <c r="O794" s="427"/>
      <c r="P794" s="427"/>
      <c r="Q794" s="427"/>
      <c r="R794" s="427"/>
      <c r="S794" s="427"/>
      <c r="T794" s="427"/>
      <c r="U794" s="427"/>
      <c r="V794" s="427"/>
      <c r="W794" s="427"/>
      <c r="X794" s="299"/>
      <c r="Y794" s="427"/>
      <c r="Z794" s="427"/>
      <c r="AA794" s="427"/>
      <c r="AB794" s="427"/>
      <c r="AC794" s="427"/>
      <c r="AD794" s="427"/>
      <c r="AE794" s="427"/>
      <c r="AF794" s="427"/>
    </row>
    <row r="795" spans="15:32" x14ac:dyDescent="0.25">
      <c r="O795" s="427"/>
      <c r="P795" s="427"/>
      <c r="Q795" s="427"/>
      <c r="R795" s="427"/>
      <c r="S795" s="427"/>
      <c r="T795" s="427"/>
      <c r="U795" s="427"/>
      <c r="V795" s="427"/>
      <c r="W795" s="427"/>
      <c r="X795" s="299"/>
      <c r="Y795" s="427"/>
      <c r="Z795" s="427"/>
      <c r="AA795" s="427"/>
      <c r="AB795" s="427"/>
      <c r="AC795" s="427"/>
      <c r="AD795" s="427"/>
      <c r="AE795" s="427"/>
      <c r="AF795" s="427"/>
    </row>
    <row r="796" spans="15:32" x14ac:dyDescent="0.25">
      <c r="O796" s="427"/>
      <c r="P796" s="427"/>
      <c r="Q796" s="427"/>
      <c r="R796" s="427"/>
      <c r="S796" s="427"/>
      <c r="T796" s="427"/>
      <c r="U796" s="427"/>
      <c r="V796" s="427"/>
      <c r="W796" s="427"/>
      <c r="X796" s="299"/>
      <c r="Y796" s="427"/>
      <c r="Z796" s="427"/>
      <c r="AA796" s="427"/>
      <c r="AB796" s="427"/>
      <c r="AC796" s="427"/>
      <c r="AD796" s="427"/>
      <c r="AE796" s="427"/>
      <c r="AF796" s="427"/>
    </row>
    <row r="797" spans="15:32" x14ac:dyDescent="0.25">
      <c r="O797" s="427"/>
      <c r="P797" s="427"/>
      <c r="Q797" s="427"/>
      <c r="R797" s="427"/>
      <c r="S797" s="427"/>
      <c r="T797" s="427"/>
      <c r="U797" s="427"/>
      <c r="V797" s="427"/>
      <c r="W797" s="427"/>
      <c r="X797" s="299"/>
      <c r="Y797" s="427"/>
      <c r="Z797" s="427"/>
      <c r="AA797" s="427"/>
      <c r="AB797" s="427"/>
      <c r="AC797" s="427"/>
      <c r="AD797" s="427"/>
      <c r="AE797" s="427"/>
      <c r="AF797" s="427"/>
    </row>
    <row r="798" spans="15:32" x14ac:dyDescent="0.25">
      <c r="O798" s="427"/>
      <c r="P798" s="427"/>
      <c r="Q798" s="427"/>
      <c r="R798" s="427"/>
      <c r="S798" s="427"/>
      <c r="T798" s="427"/>
      <c r="U798" s="427"/>
      <c r="V798" s="427"/>
      <c r="W798" s="427"/>
      <c r="X798" s="299"/>
      <c r="Y798" s="427"/>
      <c r="Z798" s="427"/>
      <c r="AA798" s="427"/>
      <c r="AB798" s="427"/>
      <c r="AC798" s="427"/>
      <c r="AD798" s="427"/>
      <c r="AE798" s="427"/>
      <c r="AF798" s="427"/>
    </row>
    <row r="799" spans="15:32" x14ac:dyDescent="0.25">
      <c r="O799" s="427"/>
      <c r="P799" s="427"/>
      <c r="Q799" s="427"/>
      <c r="R799" s="427"/>
      <c r="S799" s="427"/>
      <c r="T799" s="427"/>
      <c r="U799" s="427"/>
      <c r="V799" s="427"/>
      <c r="W799" s="427"/>
      <c r="X799" s="299"/>
      <c r="Y799" s="427"/>
      <c r="Z799" s="427"/>
      <c r="AA799" s="427"/>
      <c r="AB799" s="427"/>
      <c r="AC799" s="427"/>
      <c r="AD799" s="427"/>
      <c r="AE799" s="427"/>
      <c r="AF799" s="427"/>
    </row>
    <row r="800" spans="15:32" x14ac:dyDescent="0.25">
      <c r="O800" s="427"/>
      <c r="P800" s="427"/>
      <c r="Q800" s="427"/>
      <c r="R800" s="427"/>
      <c r="S800" s="427"/>
      <c r="T800" s="427"/>
      <c r="U800" s="427"/>
      <c r="V800" s="427"/>
      <c r="W800" s="427"/>
      <c r="X800" s="299"/>
      <c r="Y800" s="427"/>
      <c r="Z800" s="427"/>
      <c r="AA800" s="427"/>
      <c r="AB800" s="427"/>
      <c r="AC800" s="427"/>
      <c r="AD800" s="427"/>
      <c r="AE800" s="427"/>
      <c r="AF800" s="427"/>
    </row>
    <row r="801" spans="15:32" x14ac:dyDescent="0.25">
      <c r="O801" s="427"/>
      <c r="P801" s="427"/>
      <c r="Q801" s="427"/>
      <c r="R801" s="427"/>
      <c r="S801" s="427"/>
      <c r="T801" s="427"/>
      <c r="U801" s="427"/>
      <c r="V801" s="427"/>
      <c r="W801" s="427"/>
      <c r="X801" s="299"/>
      <c r="Y801" s="427"/>
      <c r="Z801" s="427"/>
      <c r="AA801" s="427"/>
      <c r="AB801" s="427"/>
      <c r="AC801" s="427"/>
      <c r="AD801" s="427"/>
      <c r="AE801" s="427"/>
      <c r="AF801" s="427"/>
    </row>
    <row r="802" spans="15:32" x14ac:dyDescent="0.25">
      <c r="O802" s="427"/>
      <c r="P802" s="427"/>
      <c r="Q802" s="427"/>
      <c r="R802" s="427"/>
      <c r="S802" s="427"/>
      <c r="T802" s="427"/>
      <c r="U802" s="427"/>
      <c r="V802" s="427"/>
      <c r="W802" s="427"/>
      <c r="X802" s="299"/>
      <c r="Y802" s="427"/>
      <c r="Z802" s="427"/>
      <c r="AA802" s="427"/>
      <c r="AB802" s="427"/>
      <c r="AC802" s="427"/>
      <c r="AD802" s="427"/>
      <c r="AE802" s="427"/>
      <c r="AF802" s="427"/>
    </row>
    <row r="803" spans="15:32" x14ac:dyDescent="0.25">
      <c r="O803" s="427"/>
      <c r="P803" s="427"/>
      <c r="Q803" s="427"/>
      <c r="R803" s="427"/>
      <c r="S803" s="427"/>
      <c r="T803" s="427"/>
      <c r="U803" s="427"/>
      <c r="V803" s="427"/>
      <c r="W803" s="427"/>
      <c r="X803" s="299"/>
      <c r="Y803" s="427"/>
      <c r="Z803" s="427"/>
      <c r="AA803" s="427"/>
      <c r="AB803" s="427"/>
      <c r="AC803" s="427"/>
      <c r="AD803" s="427"/>
      <c r="AE803" s="427"/>
      <c r="AF803" s="427"/>
    </row>
    <row r="804" spans="15:32" x14ac:dyDescent="0.25">
      <c r="O804" s="427"/>
      <c r="P804" s="427"/>
      <c r="Q804" s="427"/>
      <c r="R804" s="427"/>
      <c r="S804" s="427"/>
      <c r="T804" s="427"/>
      <c r="U804" s="427"/>
      <c r="V804" s="427"/>
      <c r="W804" s="427"/>
      <c r="X804" s="299"/>
      <c r="Y804" s="427"/>
      <c r="Z804" s="427"/>
      <c r="AA804" s="427"/>
      <c r="AB804" s="427"/>
      <c r="AC804" s="427"/>
      <c r="AD804" s="427"/>
      <c r="AE804" s="427"/>
      <c r="AF804" s="427"/>
    </row>
    <row r="805" spans="15:32" x14ac:dyDescent="0.25">
      <c r="O805" s="427"/>
      <c r="P805" s="427"/>
      <c r="Q805" s="427"/>
      <c r="R805" s="427"/>
      <c r="S805" s="427"/>
      <c r="T805" s="427"/>
      <c r="U805" s="427"/>
      <c r="V805" s="427"/>
      <c r="W805" s="427"/>
      <c r="X805" s="299"/>
      <c r="Y805" s="427"/>
      <c r="Z805" s="427"/>
      <c r="AA805" s="427"/>
      <c r="AB805" s="427"/>
      <c r="AC805" s="427"/>
      <c r="AD805" s="427"/>
      <c r="AE805" s="427"/>
      <c r="AF805" s="427"/>
    </row>
    <row r="806" spans="15:32" x14ac:dyDescent="0.25">
      <c r="O806" s="427"/>
      <c r="P806" s="427"/>
      <c r="Q806" s="427"/>
      <c r="R806" s="427"/>
      <c r="S806" s="427"/>
      <c r="T806" s="427"/>
      <c r="U806" s="427"/>
      <c r="V806" s="427"/>
      <c r="W806" s="427"/>
      <c r="X806" s="299"/>
      <c r="Y806" s="427"/>
      <c r="Z806" s="427"/>
      <c r="AA806" s="427"/>
      <c r="AB806" s="427"/>
      <c r="AC806" s="427"/>
      <c r="AD806" s="427"/>
      <c r="AE806" s="427"/>
      <c r="AF806" s="427"/>
    </row>
    <row r="807" spans="15:32" x14ac:dyDescent="0.25">
      <c r="O807" s="427"/>
      <c r="P807" s="427"/>
      <c r="Q807" s="427"/>
      <c r="R807" s="427"/>
      <c r="S807" s="427"/>
      <c r="T807" s="427"/>
      <c r="U807" s="427"/>
      <c r="V807" s="427"/>
      <c r="W807" s="427"/>
      <c r="X807" s="299"/>
      <c r="Y807" s="427"/>
      <c r="Z807" s="427"/>
      <c r="AA807" s="427"/>
      <c r="AB807" s="427"/>
      <c r="AC807" s="427"/>
      <c r="AD807" s="427"/>
      <c r="AE807" s="427"/>
      <c r="AF807" s="427"/>
    </row>
    <row r="808" spans="15:32" x14ac:dyDescent="0.25">
      <c r="O808" s="427"/>
      <c r="P808" s="427"/>
      <c r="Q808" s="427"/>
      <c r="R808" s="427"/>
      <c r="S808" s="427"/>
      <c r="T808" s="427"/>
      <c r="U808" s="427"/>
      <c r="V808" s="427"/>
      <c r="W808" s="427"/>
      <c r="X808" s="299"/>
      <c r="Y808" s="427"/>
      <c r="Z808" s="427"/>
      <c r="AA808" s="427"/>
      <c r="AB808" s="427"/>
      <c r="AC808" s="427"/>
      <c r="AD808" s="427"/>
      <c r="AE808" s="427"/>
      <c r="AF808" s="427"/>
    </row>
    <row r="809" spans="15:32" x14ac:dyDescent="0.25">
      <c r="O809" s="427"/>
      <c r="P809" s="427"/>
      <c r="Q809" s="427"/>
      <c r="R809" s="427"/>
      <c r="S809" s="427"/>
      <c r="T809" s="427"/>
      <c r="U809" s="427"/>
      <c r="V809" s="427"/>
      <c r="W809" s="427"/>
      <c r="X809" s="299"/>
      <c r="Y809" s="427"/>
      <c r="Z809" s="427"/>
      <c r="AA809" s="427"/>
      <c r="AB809" s="427"/>
      <c r="AC809" s="427"/>
      <c r="AD809" s="427"/>
      <c r="AE809" s="427"/>
      <c r="AF809" s="427"/>
    </row>
    <row r="810" spans="15:32" x14ac:dyDescent="0.25">
      <c r="O810" s="427"/>
      <c r="P810" s="427"/>
      <c r="Q810" s="427"/>
      <c r="R810" s="427"/>
      <c r="S810" s="427"/>
      <c r="T810" s="427"/>
      <c r="U810" s="427"/>
      <c r="V810" s="427"/>
      <c r="W810" s="427"/>
      <c r="X810" s="299"/>
      <c r="Y810" s="427"/>
      <c r="Z810" s="427"/>
      <c r="AA810" s="427"/>
      <c r="AB810" s="427"/>
      <c r="AC810" s="427"/>
      <c r="AD810" s="427"/>
      <c r="AE810" s="427"/>
      <c r="AF810" s="427"/>
    </row>
    <row r="811" spans="15:32" x14ac:dyDescent="0.25">
      <c r="O811" s="427"/>
      <c r="P811" s="427"/>
      <c r="Q811" s="427"/>
      <c r="R811" s="427"/>
      <c r="S811" s="427"/>
      <c r="T811" s="427"/>
      <c r="U811" s="427"/>
      <c r="V811" s="427"/>
      <c r="W811" s="427"/>
      <c r="X811" s="299"/>
      <c r="Y811" s="427"/>
      <c r="Z811" s="427"/>
      <c r="AA811" s="427"/>
      <c r="AB811" s="427"/>
      <c r="AC811" s="427"/>
      <c r="AD811" s="427"/>
      <c r="AE811" s="427"/>
      <c r="AF811" s="427"/>
    </row>
    <row r="812" spans="15:32" x14ac:dyDescent="0.25">
      <c r="O812" s="427"/>
      <c r="P812" s="427"/>
      <c r="Q812" s="427"/>
      <c r="R812" s="427"/>
      <c r="S812" s="427"/>
      <c r="T812" s="427"/>
      <c r="U812" s="427"/>
      <c r="V812" s="427"/>
      <c r="W812" s="427"/>
      <c r="X812" s="299"/>
      <c r="Y812" s="427"/>
      <c r="Z812" s="427"/>
      <c r="AA812" s="427"/>
      <c r="AB812" s="427"/>
      <c r="AC812" s="427"/>
      <c r="AD812" s="427"/>
      <c r="AE812" s="427"/>
      <c r="AF812" s="427"/>
    </row>
    <row r="813" spans="15:32" x14ac:dyDescent="0.25">
      <c r="O813" s="427"/>
      <c r="P813" s="427"/>
      <c r="Q813" s="427"/>
      <c r="R813" s="427"/>
      <c r="S813" s="427"/>
      <c r="T813" s="427"/>
      <c r="U813" s="427"/>
      <c r="V813" s="427"/>
      <c r="W813" s="427"/>
      <c r="X813" s="299"/>
      <c r="Y813" s="427"/>
      <c r="Z813" s="427"/>
      <c r="AA813" s="427"/>
      <c r="AB813" s="427"/>
      <c r="AC813" s="427"/>
      <c r="AD813" s="427"/>
      <c r="AE813" s="427"/>
      <c r="AF813" s="427"/>
    </row>
    <row r="814" spans="15:32" x14ac:dyDescent="0.25">
      <c r="O814" s="427"/>
      <c r="P814" s="427"/>
      <c r="Q814" s="427"/>
      <c r="R814" s="427"/>
      <c r="S814" s="427"/>
      <c r="T814" s="427"/>
      <c r="U814" s="427"/>
      <c r="V814" s="427"/>
      <c r="W814" s="427"/>
      <c r="X814" s="299"/>
      <c r="Y814" s="427"/>
      <c r="Z814" s="427"/>
      <c r="AA814" s="427"/>
      <c r="AB814" s="427"/>
      <c r="AC814" s="427"/>
      <c r="AD814" s="427"/>
      <c r="AE814" s="427"/>
      <c r="AF814" s="427"/>
    </row>
    <row r="815" spans="15:32" x14ac:dyDescent="0.25">
      <c r="O815" s="427"/>
      <c r="P815" s="427"/>
      <c r="Q815" s="427"/>
      <c r="R815" s="427"/>
      <c r="S815" s="427"/>
      <c r="T815" s="427"/>
      <c r="U815" s="427"/>
      <c r="V815" s="427"/>
      <c r="W815" s="427"/>
      <c r="X815" s="299"/>
      <c r="Y815" s="427"/>
      <c r="Z815" s="427"/>
      <c r="AA815" s="427"/>
      <c r="AB815" s="427"/>
      <c r="AC815" s="427"/>
      <c r="AD815" s="427"/>
      <c r="AE815" s="427"/>
      <c r="AF815" s="427"/>
    </row>
    <row r="816" spans="15:32" x14ac:dyDescent="0.25">
      <c r="O816" s="427"/>
      <c r="P816" s="427"/>
      <c r="Q816" s="427"/>
      <c r="R816" s="427"/>
      <c r="S816" s="427"/>
      <c r="T816" s="427"/>
      <c r="U816" s="427"/>
      <c r="V816" s="427"/>
      <c r="W816" s="427"/>
      <c r="X816" s="299"/>
      <c r="Y816" s="427"/>
      <c r="Z816" s="427"/>
      <c r="AA816" s="427"/>
      <c r="AB816" s="427"/>
      <c r="AC816" s="427"/>
      <c r="AD816" s="427"/>
      <c r="AE816" s="427"/>
      <c r="AF816" s="427"/>
    </row>
    <row r="817" spans="15:32" x14ac:dyDescent="0.25">
      <c r="O817" s="427"/>
      <c r="P817" s="427"/>
      <c r="Q817" s="427"/>
      <c r="R817" s="427"/>
      <c r="S817" s="427"/>
      <c r="T817" s="427"/>
      <c r="U817" s="427"/>
      <c r="V817" s="427"/>
      <c r="W817" s="427"/>
      <c r="X817" s="299"/>
      <c r="Y817" s="427"/>
      <c r="Z817" s="427"/>
      <c r="AA817" s="427"/>
      <c r="AB817" s="427"/>
      <c r="AC817" s="427"/>
      <c r="AD817" s="427"/>
      <c r="AE817" s="427"/>
      <c r="AF817" s="427"/>
    </row>
    <row r="818" spans="15:32" x14ac:dyDescent="0.25">
      <c r="O818" s="427"/>
      <c r="P818" s="427"/>
      <c r="Q818" s="427"/>
      <c r="R818" s="427"/>
      <c r="S818" s="427"/>
      <c r="T818" s="427"/>
      <c r="U818" s="427"/>
      <c r="V818" s="427"/>
      <c r="W818" s="427"/>
      <c r="X818" s="299"/>
      <c r="Y818" s="427"/>
      <c r="Z818" s="427"/>
      <c r="AA818" s="427"/>
      <c r="AB818" s="427"/>
      <c r="AC818" s="427"/>
      <c r="AD818" s="427"/>
      <c r="AE818" s="427"/>
      <c r="AF818" s="427"/>
    </row>
    <row r="819" spans="15:32" x14ac:dyDescent="0.25">
      <c r="O819" s="427"/>
      <c r="P819" s="427"/>
      <c r="Q819" s="427"/>
      <c r="R819" s="427"/>
      <c r="S819" s="427"/>
      <c r="T819" s="427"/>
      <c r="U819" s="427"/>
      <c r="V819" s="427"/>
      <c r="W819" s="427"/>
      <c r="X819" s="299"/>
      <c r="Y819" s="427"/>
      <c r="Z819" s="427"/>
      <c r="AA819" s="427"/>
      <c r="AB819" s="427"/>
      <c r="AC819" s="427"/>
      <c r="AD819" s="427"/>
      <c r="AE819" s="427"/>
      <c r="AF819" s="427"/>
    </row>
    <row r="820" spans="15:32" x14ac:dyDescent="0.25">
      <c r="O820" s="427"/>
      <c r="P820" s="427"/>
      <c r="Q820" s="427"/>
      <c r="R820" s="427"/>
      <c r="S820" s="427"/>
      <c r="T820" s="427"/>
      <c r="U820" s="427"/>
      <c r="V820" s="427"/>
      <c r="W820" s="427"/>
      <c r="X820" s="299"/>
      <c r="Y820" s="427"/>
      <c r="Z820" s="427"/>
      <c r="AA820" s="427"/>
      <c r="AB820" s="427"/>
      <c r="AC820" s="427"/>
      <c r="AD820" s="427"/>
      <c r="AE820" s="427"/>
      <c r="AF820" s="427"/>
    </row>
    <row r="821" spans="15:32" x14ac:dyDescent="0.25">
      <c r="O821" s="427"/>
      <c r="P821" s="427"/>
      <c r="Q821" s="427"/>
      <c r="R821" s="427"/>
      <c r="S821" s="427"/>
      <c r="T821" s="427"/>
      <c r="U821" s="427"/>
      <c r="V821" s="427"/>
      <c r="W821" s="427"/>
      <c r="X821" s="299"/>
      <c r="Y821" s="427"/>
      <c r="Z821" s="427"/>
      <c r="AA821" s="427"/>
      <c r="AB821" s="427"/>
      <c r="AC821" s="427"/>
      <c r="AD821" s="427"/>
      <c r="AE821" s="427"/>
      <c r="AF821" s="427"/>
    </row>
    <row r="822" spans="15:32" x14ac:dyDescent="0.25">
      <c r="O822" s="427"/>
      <c r="P822" s="427"/>
      <c r="Q822" s="427"/>
      <c r="R822" s="427"/>
      <c r="S822" s="427"/>
      <c r="T822" s="427"/>
      <c r="U822" s="427"/>
      <c r="V822" s="427"/>
      <c r="W822" s="427"/>
      <c r="X822" s="299"/>
      <c r="Y822" s="427"/>
      <c r="Z822" s="427"/>
      <c r="AA822" s="427"/>
      <c r="AB822" s="427"/>
      <c r="AC822" s="427"/>
      <c r="AD822" s="427"/>
      <c r="AE822" s="427"/>
      <c r="AF822" s="427"/>
    </row>
    <row r="823" spans="15:32" x14ac:dyDescent="0.25">
      <c r="O823" s="427"/>
      <c r="P823" s="427"/>
      <c r="Q823" s="427"/>
      <c r="R823" s="427"/>
      <c r="S823" s="427"/>
      <c r="T823" s="427"/>
      <c r="U823" s="427"/>
      <c r="V823" s="427"/>
      <c r="W823" s="427"/>
      <c r="X823" s="299"/>
      <c r="Y823" s="427"/>
      <c r="Z823" s="427"/>
      <c r="AA823" s="427"/>
      <c r="AB823" s="427"/>
      <c r="AC823" s="427"/>
      <c r="AD823" s="427"/>
      <c r="AE823" s="427"/>
      <c r="AF823" s="427"/>
    </row>
    <row r="824" spans="15:32" x14ac:dyDescent="0.25">
      <c r="O824" s="427"/>
      <c r="P824" s="427"/>
      <c r="Q824" s="427"/>
      <c r="R824" s="427"/>
      <c r="S824" s="427"/>
      <c r="T824" s="427"/>
      <c r="U824" s="427"/>
      <c r="V824" s="427"/>
      <c r="W824" s="427"/>
      <c r="X824" s="299"/>
      <c r="Y824" s="427"/>
      <c r="Z824" s="427"/>
      <c r="AA824" s="427"/>
      <c r="AB824" s="427"/>
      <c r="AC824" s="427"/>
      <c r="AD824" s="427"/>
      <c r="AE824" s="427"/>
      <c r="AF824" s="427"/>
    </row>
    <row r="825" spans="15:32" x14ac:dyDescent="0.25">
      <c r="O825" s="427"/>
      <c r="P825" s="427"/>
      <c r="Q825" s="427"/>
      <c r="R825" s="427"/>
      <c r="S825" s="427"/>
      <c r="T825" s="427"/>
      <c r="U825" s="427"/>
      <c r="V825" s="427"/>
      <c r="W825" s="427"/>
      <c r="X825" s="299"/>
      <c r="Y825" s="427"/>
      <c r="Z825" s="427"/>
      <c r="AA825" s="427"/>
      <c r="AB825" s="427"/>
      <c r="AC825" s="427"/>
      <c r="AD825" s="427"/>
      <c r="AE825" s="427"/>
      <c r="AF825" s="427"/>
    </row>
    <row r="826" spans="15:32" x14ac:dyDescent="0.25">
      <c r="O826" s="427"/>
      <c r="P826" s="427"/>
      <c r="Q826" s="427"/>
      <c r="R826" s="427"/>
      <c r="S826" s="427"/>
      <c r="T826" s="427"/>
      <c r="U826" s="427"/>
      <c r="V826" s="427"/>
      <c r="W826" s="427"/>
      <c r="X826" s="299"/>
      <c r="Y826" s="427"/>
      <c r="Z826" s="427"/>
      <c r="AA826" s="427"/>
      <c r="AB826" s="427"/>
      <c r="AC826" s="427"/>
      <c r="AD826" s="427"/>
      <c r="AE826" s="427"/>
      <c r="AF826" s="427"/>
    </row>
    <row r="827" spans="15:32" x14ac:dyDescent="0.25">
      <c r="O827" s="427"/>
      <c r="P827" s="427"/>
      <c r="Q827" s="427"/>
      <c r="R827" s="427"/>
      <c r="S827" s="427"/>
      <c r="T827" s="427"/>
      <c r="U827" s="427"/>
      <c r="V827" s="427"/>
      <c r="W827" s="427"/>
      <c r="X827" s="299"/>
      <c r="Y827" s="427"/>
      <c r="Z827" s="427"/>
      <c r="AA827" s="427"/>
      <c r="AB827" s="427"/>
      <c r="AC827" s="427"/>
      <c r="AD827" s="427"/>
      <c r="AE827" s="427"/>
      <c r="AF827" s="427"/>
    </row>
    <row r="828" spans="15:32" x14ac:dyDescent="0.25">
      <c r="O828" s="427"/>
      <c r="P828" s="427"/>
      <c r="Q828" s="427"/>
      <c r="R828" s="427"/>
      <c r="S828" s="427"/>
      <c r="T828" s="427"/>
      <c r="U828" s="427"/>
      <c r="V828" s="427"/>
      <c r="W828" s="427"/>
      <c r="X828" s="299"/>
      <c r="Y828" s="427"/>
      <c r="Z828" s="427"/>
      <c r="AA828" s="427"/>
      <c r="AB828" s="427"/>
      <c r="AC828" s="427"/>
      <c r="AD828" s="427"/>
      <c r="AE828" s="427"/>
      <c r="AF828" s="427"/>
    </row>
    <row r="829" spans="15:32" x14ac:dyDescent="0.25">
      <c r="O829" s="427"/>
      <c r="P829" s="427"/>
      <c r="Q829" s="427"/>
      <c r="R829" s="427"/>
      <c r="S829" s="427"/>
      <c r="T829" s="427"/>
      <c r="U829" s="427"/>
      <c r="V829" s="427"/>
      <c r="W829" s="427"/>
      <c r="X829" s="299"/>
      <c r="Y829" s="427"/>
      <c r="Z829" s="427"/>
      <c r="AA829" s="427"/>
      <c r="AB829" s="427"/>
      <c r="AC829" s="427"/>
      <c r="AD829" s="427"/>
      <c r="AE829" s="427"/>
      <c r="AF829" s="427"/>
    </row>
    <row r="830" spans="15:32" x14ac:dyDescent="0.25">
      <c r="O830" s="427"/>
      <c r="P830" s="427"/>
      <c r="Q830" s="427"/>
      <c r="R830" s="427"/>
      <c r="S830" s="427"/>
      <c r="T830" s="427"/>
      <c r="U830" s="427"/>
      <c r="V830" s="427"/>
      <c r="W830" s="427"/>
      <c r="X830" s="299"/>
      <c r="Y830" s="427"/>
      <c r="Z830" s="427"/>
      <c r="AA830" s="427"/>
      <c r="AB830" s="427"/>
      <c r="AC830" s="427"/>
      <c r="AD830" s="427"/>
      <c r="AE830" s="427"/>
      <c r="AF830" s="427"/>
    </row>
    <row r="831" spans="15:32" x14ac:dyDescent="0.25">
      <c r="O831" s="427"/>
      <c r="P831" s="427"/>
      <c r="Q831" s="427"/>
      <c r="R831" s="427"/>
      <c r="S831" s="427"/>
      <c r="T831" s="427"/>
      <c r="U831" s="427"/>
      <c r="V831" s="427"/>
      <c r="W831" s="427"/>
      <c r="X831" s="299"/>
      <c r="Y831" s="427"/>
      <c r="Z831" s="427"/>
      <c r="AA831" s="427"/>
      <c r="AB831" s="427"/>
      <c r="AC831" s="427"/>
      <c r="AD831" s="427"/>
      <c r="AE831" s="427"/>
      <c r="AF831" s="427"/>
    </row>
    <row r="832" spans="15:32" x14ac:dyDescent="0.25">
      <c r="O832" s="427"/>
      <c r="P832" s="427"/>
      <c r="Q832" s="427"/>
      <c r="R832" s="427"/>
      <c r="S832" s="427"/>
      <c r="T832" s="427"/>
      <c r="U832" s="427"/>
      <c r="V832" s="427"/>
      <c r="W832" s="427"/>
      <c r="X832" s="299"/>
      <c r="Y832" s="427"/>
      <c r="Z832" s="427"/>
      <c r="AA832" s="427"/>
      <c r="AB832" s="427"/>
      <c r="AC832" s="427"/>
      <c r="AD832" s="427"/>
      <c r="AE832" s="427"/>
      <c r="AF832" s="427"/>
    </row>
    <row r="833" spans="15:32" x14ac:dyDescent="0.25">
      <c r="O833" s="427"/>
      <c r="P833" s="427"/>
      <c r="Q833" s="427"/>
      <c r="R833" s="427"/>
      <c r="S833" s="427"/>
      <c r="T833" s="427"/>
      <c r="U833" s="427"/>
      <c r="V833" s="427"/>
      <c r="W833" s="427"/>
      <c r="X833" s="299"/>
      <c r="Y833" s="427"/>
      <c r="Z833" s="427"/>
      <c r="AA833" s="427"/>
      <c r="AB833" s="427"/>
      <c r="AC833" s="427"/>
      <c r="AD833" s="427"/>
      <c r="AE833" s="427"/>
      <c r="AF833" s="427"/>
    </row>
    <row r="834" spans="15:32" x14ac:dyDescent="0.25">
      <c r="O834" s="427"/>
      <c r="P834" s="427"/>
      <c r="Q834" s="427"/>
      <c r="R834" s="427"/>
      <c r="S834" s="427"/>
      <c r="T834" s="427"/>
      <c r="U834" s="427"/>
      <c r="V834" s="427"/>
      <c r="W834" s="427"/>
      <c r="X834" s="299"/>
      <c r="Y834" s="427"/>
      <c r="Z834" s="427"/>
      <c r="AA834" s="427"/>
      <c r="AB834" s="427"/>
      <c r="AC834" s="427"/>
      <c r="AD834" s="427"/>
      <c r="AE834" s="427"/>
      <c r="AF834" s="427"/>
    </row>
    <row r="835" spans="15:32" x14ac:dyDescent="0.25">
      <c r="O835" s="427"/>
      <c r="P835" s="427"/>
      <c r="Q835" s="427"/>
      <c r="R835" s="427"/>
      <c r="S835" s="427"/>
      <c r="T835" s="427"/>
      <c r="U835" s="427"/>
      <c r="V835" s="427"/>
      <c r="W835" s="427"/>
      <c r="X835" s="299"/>
      <c r="Y835" s="427"/>
      <c r="Z835" s="427"/>
      <c r="AA835" s="427"/>
      <c r="AB835" s="427"/>
      <c r="AC835" s="427"/>
      <c r="AD835" s="427"/>
      <c r="AE835" s="427"/>
      <c r="AF835" s="427"/>
    </row>
    <row r="836" spans="15:32" x14ac:dyDescent="0.25">
      <c r="O836" s="427"/>
      <c r="P836" s="427"/>
      <c r="Q836" s="427"/>
      <c r="R836" s="427"/>
      <c r="S836" s="427"/>
      <c r="T836" s="427"/>
      <c r="U836" s="427"/>
      <c r="V836" s="427"/>
      <c r="W836" s="427"/>
      <c r="X836" s="299"/>
      <c r="Y836" s="427"/>
      <c r="Z836" s="427"/>
      <c r="AA836" s="427"/>
      <c r="AB836" s="427"/>
      <c r="AC836" s="427"/>
      <c r="AD836" s="427"/>
      <c r="AE836" s="427"/>
      <c r="AF836" s="427"/>
    </row>
    <row r="837" spans="15:32" x14ac:dyDescent="0.25">
      <c r="O837" s="427"/>
      <c r="P837" s="427"/>
      <c r="Q837" s="427"/>
      <c r="R837" s="427"/>
      <c r="S837" s="427"/>
      <c r="T837" s="427"/>
      <c r="U837" s="427"/>
      <c r="V837" s="427"/>
      <c r="W837" s="427"/>
      <c r="X837" s="299"/>
      <c r="Y837" s="427"/>
      <c r="Z837" s="427"/>
      <c r="AA837" s="427"/>
      <c r="AB837" s="427"/>
      <c r="AC837" s="427"/>
      <c r="AD837" s="427"/>
      <c r="AE837" s="427"/>
      <c r="AF837" s="427"/>
    </row>
    <row r="838" spans="15:32" x14ac:dyDescent="0.25">
      <c r="O838" s="427"/>
      <c r="P838" s="427"/>
      <c r="Q838" s="427"/>
      <c r="R838" s="427"/>
      <c r="S838" s="427"/>
      <c r="T838" s="427"/>
      <c r="U838" s="427"/>
      <c r="V838" s="427"/>
      <c r="W838" s="427"/>
      <c r="X838" s="299"/>
      <c r="Y838" s="427"/>
      <c r="Z838" s="427"/>
      <c r="AA838" s="427"/>
      <c r="AB838" s="427"/>
      <c r="AC838" s="427"/>
      <c r="AD838" s="427"/>
      <c r="AE838" s="427"/>
      <c r="AF838" s="427"/>
    </row>
    <row r="839" spans="15:32" x14ac:dyDescent="0.25">
      <c r="O839" s="427"/>
      <c r="P839" s="427"/>
      <c r="Q839" s="427"/>
      <c r="R839" s="427"/>
      <c r="S839" s="427"/>
      <c r="T839" s="427"/>
      <c r="U839" s="427"/>
      <c r="V839" s="427"/>
      <c r="W839" s="427"/>
      <c r="X839" s="299"/>
      <c r="Y839" s="427"/>
      <c r="Z839" s="427"/>
      <c r="AA839" s="427"/>
      <c r="AB839" s="427"/>
      <c r="AC839" s="427"/>
      <c r="AD839" s="427"/>
      <c r="AE839" s="427"/>
      <c r="AF839" s="427"/>
    </row>
    <row r="840" spans="15:32" x14ac:dyDescent="0.25">
      <c r="O840" s="427"/>
      <c r="P840" s="427"/>
      <c r="Q840" s="427"/>
      <c r="R840" s="427"/>
      <c r="S840" s="427"/>
      <c r="T840" s="427"/>
      <c r="U840" s="427"/>
      <c r="V840" s="427"/>
      <c r="W840" s="427"/>
      <c r="X840" s="299"/>
      <c r="Y840" s="427"/>
      <c r="Z840" s="427"/>
      <c r="AA840" s="427"/>
      <c r="AB840" s="427"/>
      <c r="AC840" s="427"/>
      <c r="AD840" s="427"/>
      <c r="AE840" s="427"/>
      <c r="AF840" s="427"/>
    </row>
    <row r="841" spans="15:32" x14ac:dyDescent="0.25">
      <c r="O841" s="427"/>
      <c r="P841" s="427"/>
      <c r="Q841" s="427"/>
      <c r="R841" s="427"/>
      <c r="S841" s="427"/>
      <c r="T841" s="427"/>
      <c r="U841" s="427"/>
      <c r="V841" s="427"/>
      <c r="W841" s="427"/>
      <c r="X841" s="299"/>
      <c r="Y841" s="427"/>
      <c r="Z841" s="427"/>
      <c r="AA841" s="427"/>
      <c r="AB841" s="427"/>
      <c r="AC841" s="427"/>
      <c r="AD841" s="427"/>
      <c r="AE841" s="427"/>
      <c r="AF841" s="427"/>
    </row>
    <row r="842" spans="15:32" x14ac:dyDescent="0.25">
      <c r="O842" s="427"/>
      <c r="P842" s="427"/>
      <c r="Q842" s="427"/>
      <c r="R842" s="427"/>
      <c r="S842" s="427"/>
      <c r="T842" s="427"/>
      <c r="U842" s="427"/>
      <c r="V842" s="427"/>
      <c r="W842" s="427"/>
      <c r="X842" s="299"/>
      <c r="Y842" s="427"/>
      <c r="Z842" s="427"/>
      <c r="AA842" s="427"/>
      <c r="AB842" s="427"/>
      <c r="AC842" s="427"/>
      <c r="AD842" s="427"/>
      <c r="AE842" s="427"/>
      <c r="AF842" s="427"/>
    </row>
    <row r="843" spans="15:32" x14ac:dyDescent="0.25">
      <c r="O843" s="427"/>
      <c r="P843" s="427"/>
      <c r="Q843" s="427"/>
      <c r="R843" s="427"/>
      <c r="S843" s="427"/>
      <c r="T843" s="427"/>
      <c r="U843" s="427"/>
      <c r="V843" s="427"/>
      <c r="W843" s="427"/>
      <c r="X843" s="299"/>
      <c r="Y843" s="427"/>
      <c r="Z843" s="427"/>
      <c r="AA843" s="427"/>
      <c r="AB843" s="427"/>
      <c r="AC843" s="427"/>
      <c r="AD843" s="427"/>
      <c r="AE843" s="427"/>
      <c r="AF843" s="427"/>
    </row>
    <row r="844" spans="15:32" x14ac:dyDescent="0.25">
      <c r="O844" s="427"/>
      <c r="P844" s="427"/>
      <c r="Q844" s="427"/>
      <c r="R844" s="427"/>
      <c r="S844" s="427"/>
      <c r="T844" s="427"/>
      <c r="U844" s="427"/>
      <c r="V844" s="427"/>
      <c r="W844" s="427"/>
      <c r="X844" s="299"/>
      <c r="Y844" s="427"/>
      <c r="Z844" s="427"/>
      <c r="AA844" s="427"/>
      <c r="AB844" s="427"/>
      <c r="AC844" s="427"/>
      <c r="AD844" s="427"/>
      <c r="AE844" s="427"/>
      <c r="AF844" s="427"/>
    </row>
    <row r="845" spans="15:32" x14ac:dyDescent="0.25">
      <c r="O845" s="427"/>
      <c r="P845" s="427"/>
      <c r="Q845" s="427"/>
      <c r="R845" s="427"/>
      <c r="S845" s="427"/>
      <c r="T845" s="427"/>
      <c r="U845" s="427"/>
      <c r="V845" s="427"/>
      <c r="W845" s="427"/>
      <c r="X845" s="299"/>
      <c r="Y845" s="427"/>
      <c r="Z845" s="427"/>
      <c r="AA845" s="427"/>
      <c r="AB845" s="427"/>
      <c r="AC845" s="427"/>
      <c r="AD845" s="427"/>
      <c r="AE845" s="427"/>
      <c r="AF845" s="427"/>
    </row>
    <row r="846" spans="15:32" x14ac:dyDescent="0.25">
      <c r="O846" s="427"/>
      <c r="P846" s="427"/>
      <c r="Q846" s="427"/>
      <c r="R846" s="427"/>
      <c r="S846" s="427"/>
      <c r="T846" s="427"/>
      <c r="U846" s="427"/>
      <c r="V846" s="427"/>
      <c r="W846" s="427"/>
      <c r="X846" s="299"/>
      <c r="Y846" s="427"/>
      <c r="Z846" s="427"/>
      <c r="AA846" s="427"/>
      <c r="AB846" s="427"/>
      <c r="AC846" s="427"/>
      <c r="AD846" s="427"/>
      <c r="AE846" s="427"/>
      <c r="AF846" s="427"/>
    </row>
    <row r="847" spans="15:32" x14ac:dyDescent="0.25">
      <c r="O847" s="427"/>
      <c r="P847" s="427"/>
      <c r="Q847" s="427"/>
      <c r="R847" s="427"/>
      <c r="S847" s="427"/>
      <c r="T847" s="427"/>
      <c r="U847" s="427"/>
      <c r="V847" s="427"/>
      <c r="W847" s="427"/>
      <c r="X847" s="299"/>
      <c r="Y847" s="427"/>
      <c r="Z847" s="427"/>
      <c r="AA847" s="427"/>
      <c r="AB847" s="427"/>
      <c r="AC847" s="427"/>
      <c r="AD847" s="427"/>
      <c r="AE847" s="427"/>
      <c r="AF847" s="427"/>
    </row>
    <row r="848" spans="15:32" x14ac:dyDescent="0.25">
      <c r="O848" s="427"/>
      <c r="P848" s="427"/>
      <c r="Q848" s="427"/>
      <c r="R848" s="427"/>
      <c r="S848" s="427"/>
      <c r="T848" s="427"/>
      <c r="U848" s="427"/>
      <c r="V848" s="427"/>
      <c r="W848" s="427"/>
      <c r="X848" s="299"/>
      <c r="Y848" s="427"/>
      <c r="Z848" s="427"/>
      <c r="AA848" s="427"/>
      <c r="AB848" s="427"/>
      <c r="AC848" s="427"/>
      <c r="AD848" s="427"/>
      <c r="AE848" s="427"/>
      <c r="AF848" s="427"/>
    </row>
    <row r="849" spans="15:32" x14ac:dyDescent="0.25">
      <c r="O849" s="427"/>
      <c r="P849" s="427"/>
      <c r="Q849" s="427"/>
      <c r="R849" s="427"/>
      <c r="S849" s="427"/>
      <c r="T849" s="427"/>
      <c r="U849" s="427"/>
      <c r="V849" s="427"/>
      <c r="W849" s="427"/>
      <c r="X849" s="299"/>
      <c r="Y849" s="427"/>
      <c r="Z849" s="427"/>
      <c r="AA849" s="427"/>
      <c r="AB849" s="427"/>
      <c r="AC849" s="427"/>
      <c r="AD849" s="427"/>
      <c r="AE849" s="427"/>
      <c r="AF849" s="427"/>
    </row>
    <row r="850" spans="15:32" x14ac:dyDescent="0.25">
      <c r="O850" s="427"/>
      <c r="P850" s="427"/>
      <c r="Q850" s="427"/>
      <c r="R850" s="427"/>
      <c r="S850" s="427"/>
      <c r="T850" s="427"/>
      <c r="U850" s="427"/>
      <c r="V850" s="427"/>
      <c r="W850" s="427"/>
      <c r="X850" s="299"/>
      <c r="Y850" s="427"/>
      <c r="Z850" s="427"/>
      <c r="AA850" s="427"/>
      <c r="AB850" s="427"/>
      <c r="AC850" s="427"/>
      <c r="AD850" s="427"/>
      <c r="AE850" s="427"/>
      <c r="AF850" s="427"/>
    </row>
    <row r="851" spans="15:32" x14ac:dyDescent="0.25">
      <c r="O851" s="427"/>
      <c r="P851" s="427"/>
      <c r="Q851" s="427"/>
      <c r="R851" s="427"/>
      <c r="S851" s="427"/>
      <c r="T851" s="427"/>
      <c r="U851" s="427"/>
      <c r="V851" s="427"/>
      <c r="W851" s="427"/>
      <c r="X851" s="299"/>
      <c r="Y851" s="427"/>
      <c r="Z851" s="427"/>
      <c r="AA851" s="427"/>
      <c r="AB851" s="427"/>
      <c r="AC851" s="427"/>
      <c r="AD851" s="427"/>
      <c r="AE851" s="427"/>
      <c r="AF851" s="427"/>
    </row>
    <row r="852" spans="15:32" x14ac:dyDescent="0.25">
      <c r="O852" s="427"/>
      <c r="P852" s="427"/>
      <c r="Q852" s="427"/>
      <c r="R852" s="427"/>
      <c r="S852" s="427"/>
      <c r="T852" s="427"/>
      <c r="U852" s="427"/>
      <c r="V852" s="427"/>
      <c r="W852" s="427"/>
      <c r="X852" s="299"/>
      <c r="Y852" s="427"/>
      <c r="Z852" s="427"/>
      <c r="AA852" s="427"/>
      <c r="AB852" s="427"/>
      <c r="AC852" s="427"/>
      <c r="AD852" s="427"/>
      <c r="AE852" s="427"/>
      <c r="AF852" s="427"/>
    </row>
    <row r="853" spans="15:32" x14ac:dyDescent="0.25">
      <c r="O853" s="427"/>
      <c r="P853" s="427"/>
      <c r="Q853" s="427"/>
      <c r="R853" s="427"/>
      <c r="S853" s="427"/>
      <c r="T853" s="427"/>
      <c r="U853" s="427"/>
      <c r="V853" s="427"/>
      <c r="W853" s="427"/>
      <c r="X853" s="299"/>
      <c r="Y853" s="427"/>
      <c r="Z853" s="427"/>
      <c r="AA853" s="427"/>
      <c r="AB853" s="427"/>
      <c r="AC853" s="427"/>
      <c r="AD853" s="427"/>
      <c r="AE853" s="427"/>
      <c r="AF853" s="427"/>
    </row>
    <row r="854" spans="15:32" x14ac:dyDescent="0.25">
      <c r="O854" s="427"/>
      <c r="P854" s="427"/>
      <c r="Q854" s="427"/>
      <c r="R854" s="427"/>
      <c r="S854" s="427"/>
      <c r="T854" s="427"/>
      <c r="U854" s="427"/>
      <c r="V854" s="427"/>
      <c r="W854" s="427"/>
      <c r="X854" s="299"/>
      <c r="Y854" s="427"/>
      <c r="Z854" s="427"/>
      <c r="AA854" s="427"/>
      <c r="AB854" s="427"/>
      <c r="AC854" s="427"/>
      <c r="AD854" s="427"/>
      <c r="AE854" s="427"/>
      <c r="AF854" s="427"/>
    </row>
    <row r="855" spans="15:32" x14ac:dyDescent="0.25">
      <c r="O855" s="427"/>
      <c r="P855" s="427"/>
      <c r="Q855" s="427"/>
      <c r="R855" s="427"/>
      <c r="S855" s="427"/>
      <c r="T855" s="427"/>
      <c r="U855" s="427"/>
      <c r="V855" s="427"/>
      <c r="W855" s="427"/>
      <c r="X855" s="299"/>
      <c r="Y855" s="427"/>
      <c r="Z855" s="427"/>
      <c r="AA855" s="427"/>
      <c r="AB855" s="427"/>
      <c r="AC855" s="427"/>
      <c r="AD855" s="427"/>
      <c r="AE855" s="427"/>
      <c r="AF855" s="427"/>
    </row>
    <row r="856" spans="15:32" x14ac:dyDescent="0.25">
      <c r="O856" s="427"/>
      <c r="P856" s="427"/>
      <c r="Q856" s="427"/>
      <c r="R856" s="427"/>
      <c r="S856" s="427"/>
      <c r="T856" s="427"/>
      <c r="U856" s="427"/>
      <c r="V856" s="427"/>
      <c r="W856" s="427"/>
      <c r="X856" s="299"/>
      <c r="Y856" s="427"/>
      <c r="Z856" s="427"/>
      <c r="AA856" s="427"/>
      <c r="AB856" s="427"/>
      <c r="AC856" s="427"/>
      <c r="AD856" s="427"/>
      <c r="AE856" s="427"/>
      <c r="AF856" s="427"/>
    </row>
    <row r="857" spans="15:32" x14ac:dyDescent="0.25">
      <c r="O857" s="427"/>
      <c r="P857" s="427"/>
      <c r="Q857" s="427"/>
      <c r="R857" s="427"/>
      <c r="S857" s="427"/>
      <c r="T857" s="427"/>
      <c r="U857" s="427"/>
      <c r="V857" s="427"/>
      <c r="W857" s="427"/>
      <c r="X857" s="299"/>
      <c r="Y857" s="427"/>
      <c r="Z857" s="427"/>
      <c r="AA857" s="427"/>
      <c r="AB857" s="427"/>
      <c r="AC857" s="427"/>
      <c r="AD857" s="427"/>
      <c r="AE857" s="427"/>
      <c r="AF857" s="427"/>
    </row>
    <row r="858" spans="15:32" x14ac:dyDescent="0.25">
      <c r="O858" s="427"/>
      <c r="P858" s="427"/>
      <c r="Q858" s="427"/>
      <c r="R858" s="427"/>
      <c r="S858" s="427"/>
      <c r="T858" s="427"/>
      <c r="U858" s="427"/>
      <c r="V858" s="427"/>
      <c r="W858" s="427"/>
      <c r="X858" s="299"/>
      <c r="Y858" s="427"/>
      <c r="Z858" s="427"/>
      <c r="AA858" s="427"/>
      <c r="AB858" s="427"/>
      <c r="AC858" s="427"/>
      <c r="AD858" s="427"/>
      <c r="AE858" s="427"/>
      <c r="AF858" s="427"/>
    </row>
    <row r="859" spans="15:32" x14ac:dyDescent="0.25">
      <c r="O859" s="427"/>
      <c r="P859" s="427"/>
      <c r="Q859" s="427"/>
      <c r="R859" s="427"/>
      <c r="S859" s="427"/>
      <c r="T859" s="427"/>
      <c r="U859" s="427"/>
      <c r="V859" s="427"/>
      <c r="W859" s="427"/>
      <c r="X859" s="299"/>
      <c r="Y859" s="427"/>
      <c r="Z859" s="427"/>
      <c r="AA859" s="427"/>
      <c r="AB859" s="427"/>
      <c r="AC859" s="427"/>
      <c r="AD859" s="427"/>
      <c r="AE859" s="427"/>
      <c r="AF859" s="427"/>
    </row>
    <row r="860" spans="15:32" x14ac:dyDescent="0.25">
      <c r="O860" s="427"/>
      <c r="P860" s="427"/>
      <c r="Q860" s="427"/>
      <c r="R860" s="427"/>
      <c r="S860" s="427"/>
      <c r="T860" s="427"/>
      <c r="U860" s="427"/>
      <c r="V860" s="427"/>
      <c r="W860" s="427"/>
      <c r="X860" s="299"/>
      <c r="Y860" s="427"/>
      <c r="Z860" s="427"/>
      <c r="AA860" s="427"/>
      <c r="AB860" s="427"/>
      <c r="AC860" s="427"/>
      <c r="AD860" s="427"/>
      <c r="AE860" s="427"/>
      <c r="AF860" s="427"/>
    </row>
    <row r="861" spans="15:32" x14ac:dyDescent="0.25">
      <c r="O861" s="427"/>
      <c r="P861" s="427"/>
      <c r="Q861" s="427"/>
      <c r="R861" s="427"/>
      <c r="S861" s="427"/>
      <c r="T861" s="427"/>
      <c r="U861" s="427"/>
      <c r="V861" s="427"/>
      <c r="W861" s="427"/>
      <c r="X861" s="299"/>
      <c r="Y861" s="427"/>
      <c r="Z861" s="427"/>
      <c r="AA861" s="427"/>
      <c r="AB861" s="427"/>
      <c r="AC861" s="427"/>
      <c r="AD861" s="427"/>
      <c r="AE861" s="427"/>
      <c r="AF861" s="427"/>
    </row>
    <row r="862" spans="15:32" x14ac:dyDescent="0.25">
      <c r="O862" s="427"/>
      <c r="P862" s="427"/>
      <c r="Q862" s="427"/>
      <c r="R862" s="427"/>
      <c r="S862" s="427"/>
      <c r="T862" s="427"/>
      <c r="U862" s="427"/>
      <c r="V862" s="427"/>
      <c r="W862" s="427"/>
      <c r="X862" s="299"/>
      <c r="Y862" s="427"/>
      <c r="Z862" s="427"/>
      <c r="AA862" s="427"/>
      <c r="AB862" s="427"/>
      <c r="AC862" s="427"/>
      <c r="AD862" s="427"/>
      <c r="AE862" s="427"/>
      <c r="AF862" s="427"/>
    </row>
    <row r="863" spans="15:32" x14ac:dyDescent="0.25">
      <c r="O863" s="427"/>
      <c r="P863" s="427"/>
      <c r="Q863" s="427"/>
      <c r="R863" s="427"/>
      <c r="S863" s="427"/>
      <c r="T863" s="427"/>
      <c r="U863" s="427"/>
      <c r="V863" s="427"/>
      <c r="W863" s="427"/>
      <c r="X863" s="299"/>
      <c r="Y863" s="427"/>
      <c r="Z863" s="427"/>
      <c r="AA863" s="427"/>
      <c r="AB863" s="427"/>
      <c r="AC863" s="427"/>
      <c r="AD863" s="427"/>
      <c r="AE863" s="427"/>
      <c r="AF863" s="427"/>
    </row>
    <row r="864" spans="15:32" x14ac:dyDescent="0.25">
      <c r="O864" s="427"/>
      <c r="P864" s="427"/>
      <c r="Q864" s="427"/>
      <c r="R864" s="427"/>
      <c r="S864" s="427"/>
      <c r="T864" s="427"/>
      <c r="U864" s="427"/>
      <c r="V864" s="427"/>
      <c r="W864" s="427"/>
      <c r="X864" s="299"/>
      <c r="Y864" s="427"/>
      <c r="Z864" s="427"/>
      <c r="AA864" s="427"/>
      <c r="AB864" s="427"/>
      <c r="AC864" s="427"/>
      <c r="AD864" s="427"/>
      <c r="AE864" s="427"/>
      <c r="AF864" s="427"/>
    </row>
    <row r="865" spans="15:32" x14ac:dyDescent="0.25">
      <c r="O865" s="427"/>
      <c r="P865" s="427"/>
      <c r="Q865" s="427"/>
      <c r="R865" s="427"/>
      <c r="S865" s="427"/>
      <c r="T865" s="427"/>
      <c r="U865" s="427"/>
      <c r="V865" s="427"/>
      <c r="W865" s="427"/>
      <c r="X865" s="299"/>
      <c r="Y865" s="427"/>
      <c r="Z865" s="427"/>
      <c r="AA865" s="427"/>
      <c r="AB865" s="427"/>
      <c r="AC865" s="427"/>
      <c r="AD865" s="427"/>
      <c r="AE865" s="427"/>
      <c r="AF865" s="427"/>
    </row>
    <row r="866" spans="15:32" x14ac:dyDescent="0.25">
      <c r="O866" s="427"/>
      <c r="P866" s="427"/>
      <c r="Q866" s="427"/>
      <c r="R866" s="427"/>
      <c r="S866" s="427"/>
      <c r="T866" s="427"/>
      <c r="U866" s="427"/>
      <c r="V866" s="427"/>
      <c r="W866" s="427"/>
      <c r="X866" s="299"/>
      <c r="Y866" s="427"/>
      <c r="Z866" s="427"/>
      <c r="AA866" s="427"/>
      <c r="AB866" s="427"/>
      <c r="AC866" s="427"/>
      <c r="AD866" s="427"/>
      <c r="AE866" s="427"/>
      <c r="AF866" s="427"/>
    </row>
    <row r="867" spans="15:32" x14ac:dyDescent="0.25">
      <c r="O867" s="427"/>
      <c r="P867" s="427"/>
      <c r="Q867" s="427"/>
      <c r="R867" s="427"/>
      <c r="S867" s="427"/>
      <c r="T867" s="427"/>
      <c r="U867" s="427"/>
      <c r="V867" s="427"/>
      <c r="W867" s="427"/>
      <c r="X867" s="299"/>
      <c r="Y867" s="427"/>
      <c r="Z867" s="427"/>
      <c r="AA867" s="427"/>
      <c r="AB867" s="427"/>
      <c r="AC867" s="427"/>
      <c r="AD867" s="427"/>
      <c r="AE867" s="427"/>
      <c r="AF867" s="427"/>
    </row>
    <row r="868" spans="15:32" x14ac:dyDescent="0.25">
      <c r="O868" s="427"/>
      <c r="P868" s="427"/>
      <c r="Q868" s="427"/>
      <c r="R868" s="427"/>
      <c r="S868" s="427"/>
      <c r="T868" s="427"/>
      <c r="U868" s="427"/>
      <c r="V868" s="427"/>
      <c r="W868" s="427"/>
      <c r="X868" s="299"/>
      <c r="Y868" s="427"/>
      <c r="Z868" s="427"/>
      <c r="AA868" s="427"/>
      <c r="AB868" s="427"/>
      <c r="AC868" s="427"/>
      <c r="AD868" s="427"/>
      <c r="AE868" s="427"/>
      <c r="AF868" s="427"/>
    </row>
    <row r="869" spans="15:32" x14ac:dyDescent="0.25">
      <c r="O869" s="427"/>
      <c r="P869" s="427"/>
      <c r="Q869" s="427"/>
      <c r="R869" s="427"/>
      <c r="S869" s="427"/>
      <c r="T869" s="427"/>
      <c r="U869" s="427"/>
      <c r="V869" s="427"/>
      <c r="W869" s="427"/>
      <c r="X869" s="299"/>
      <c r="Y869" s="427"/>
      <c r="Z869" s="427"/>
      <c r="AA869" s="427"/>
      <c r="AB869" s="427"/>
      <c r="AC869" s="427"/>
      <c r="AD869" s="427"/>
      <c r="AE869" s="427"/>
      <c r="AF869" s="427"/>
    </row>
    <row r="870" spans="15:32" x14ac:dyDescent="0.25">
      <c r="O870" s="427"/>
      <c r="P870" s="427"/>
      <c r="Q870" s="427"/>
      <c r="R870" s="427"/>
      <c r="S870" s="427"/>
      <c r="T870" s="427"/>
      <c r="U870" s="427"/>
      <c r="V870" s="427"/>
      <c r="W870" s="427"/>
      <c r="X870" s="299"/>
      <c r="Y870" s="427"/>
      <c r="Z870" s="427"/>
      <c r="AA870" s="427"/>
      <c r="AB870" s="427"/>
      <c r="AC870" s="427"/>
      <c r="AD870" s="427"/>
      <c r="AE870" s="427"/>
      <c r="AF870" s="427"/>
    </row>
    <row r="871" spans="15:32" x14ac:dyDescent="0.25">
      <c r="O871" s="427"/>
      <c r="P871" s="427"/>
      <c r="Q871" s="427"/>
      <c r="R871" s="427"/>
      <c r="S871" s="427"/>
      <c r="T871" s="427"/>
      <c r="U871" s="427"/>
      <c r="V871" s="427"/>
      <c r="W871" s="427"/>
      <c r="X871" s="299"/>
      <c r="Y871" s="427"/>
      <c r="Z871" s="427"/>
      <c r="AA871" s="427"/>
      <c r="AB871" s="427"/>
      <c r="AC871" s="427"/>
      <c r="AD871" s="427"/>
      <c r="AE871" s="427"/>
      <c r="AF871" s="427"/>
    </row>
    <row r="872" spans="15:32" x14ac:dyDescent="0.25">
      <c r="O872" s="427"/>
      <c r="P872" s="427"/>
      <c r="Q872" s="427"/>
      <c r="R872" s="427"/>
      <c r="S872" s="427"/>
      <c r="T872" s="427"/>
      <c r="U872" s="427"/>
      <c r="V872" s="427"/>
      <c r="W872" s="427"/>
      <c r="X872" s="299"/>
      <c r="Y872" s="427"/>
      <c r="Z872" s="427"/>
      <c r="AA872" s="427"/>
      <c r="AB872" s="427"/>
      <c r="AC872" s="427"/>
      <c r="AD872" s="427"/>
      <c r="AE872" s="427"/>
      <c r="AF872" s="427"/>
    </row>
    <row r="873" spans="15:32" x14ac:dyDescent="0.25">
      <c r="O873" s="427"/>
      <c r="P873" s="427"/>
      <c r="Q873" s="427"/>
      <c r="R873" s="427"/>
      <c r="S873" s="427"/>
      <c r="T873" s="427"/>
      <c r="U873" s="427"/>
      <c r="V873" s="427"/>
      <c r="W873" s="427"/>
      <c r="X873" s="299"/>
      <c r="Y873" s="427"/>
      <c r="Z873" s="427"/>
      <c r="AA873" s="427"/>
      <c r="AB873" s="427"/>
      <c r="AC873" s="427"/>
      <c r="AD873" s="427"/>
      <c r="AE873" s="427"/>
      <c r="AF873" s="427"/>
    </row>
    <row r="874" spans="15:32" x14ac:dyDescent="0.25">
      <c r="O874" s="427"/>
      <c r="P874" s="427"/>
      <c r="Q874" s="427"/>
      <c r="R874" s="427"/>
      <c r="S874" s="427"/>
      <c r="T874" s="427"/>
      <c r="U874" s="427"/>
      <c r="V874" s="427"/>
      <c r="W874" s="427"/>
      <c r="X874" s="299"/>
      <c r="Y874" s="427"/>
      <c r="Z874" s="427"/>
      <c r="AA874" s="427"/>
      <c r="AB874" s="427"/>
      <c r="AC874" s="427"/>
      <c r="AD874" s="427"/>
      <c r="AE874" s="427"/>
      <c r="AF874" s="427"/>
    </row>
    <row r="875" spans="15:32" x14ac:dyDescent="0.25">
      <c r="O875" s="427"/>
      <c r="P875" s="427"/>
      <c r="Q875" s="427"/>
      <c r="R875" s="427"/>
      <c r="S875" s="427"/>
      <c r="T875" s="427"/>
      <c r="U875" s="427"/>
      <c r="V875" s="427"/>
      <c r="W875" s="427"/>
      <c r="X875" s="299"/>
      <c r="Y875" s="427"/>
      <c r="Z875" s="427"/>
      <c r="AA875" s="427"/>
      <c r="AB875" s="427"/>
      <c r="AC875" s="427"/>
      <c r="AD875" s="427"/>
      <c r="AE875" s="427"/>
      <c r="AF875" s="427"/>
    </row>
    <row r="876" spans="15:32" x14ac:dyDescent="0.25">
      <c r="O876" s="427"/>
      <c r="P876" s="427"/>
      <c r="Q876" s="427"/>
      <c r="R876" s="427"/>
      <c r="S876" s="427"/>
      <c r="T876" s="427"/>
      <c r="U876" s="427"/>
      <c r="V876" s="427"/>
      <c r="W876" s="427"/>
      <c r="X876" s="299"/>
      <c r="Y876" s="427"/>
      <c r="Z876" s="427"/>
      <c r="AA876" s="427"/>
      <c r="AB876" s="427"/>
      <c r="AC876" s="427"/>
      <c r="AD876" s="427"/>
      <c r="AE876" s="427"/>
      <c r="AF876" s="427"/>
    </row>
    <row r="877" spans="15:32" x14ac:dyDescent="0.25">
      <c r="O877" s="427"/>
      <c r="P877" s="427"/>
      <c r="Q877" s="427"/>
      <c r="R877" s="427"/>
      <c r="S877" s="427"/>
      <c r="T877" s="427"/>
      <c r="U877" s="427"/>
      <c r="V877" s="427"/>
      <c r="W877" s="427"/>
      <c r="X877" s="299"/>
      <c r="Y877" s="427"/>
      <c r="Z877" s="427"/>
      <c r="AA877" s="427"/>
      <c r="AB877" s="427"/>
      <c r="AC877" s="427"/>
      <c r="AD877" s="427"/>
      <c r="AE877" s="427"/>
      <c r="AF877" s="427"/>
    </row>
    <row r="878" spans="15:32" x14ac:dyDescent="0.25">
      <c r="O878" s="427"/>
      <c r="P878" s="427"/>
      <c r="Q878" s="427"/>
      <c r="R878" s="427"/>
      <c r="S878" s="427"/>
      <c r="T878" s="427"/>
      <c r="U878" s="427"/>
      <c r="V878" s="427"/>
      <c r="W878" s="427"/>
      <c r="X878" s="299"/>
      <c r="Y878" s="427"/>
      <c r="Z878" s="427"/>
      <c r="AA878" s="427"/>
      <c r="AB878" s="427"/>
      <c r="AC878" s="427"/>
      <c r="AD878" s="427"/>
      <c r="AE878" s="427"/>
      <c r="AF878" s="427"/>
    </row>
    <row r="879" spans="15:32" x14ac:dyDescent="0.25">
      <c r="O879" s="427"/>
      <c r="P879" s="427"/>
      <c r="Q879" s="427"/>
      <c r="R879" s="427"/>
      <c r="S879" s="427"/>
      <c r="T879" s="427"/>
      <c r="U879" s="427"/>
      <c r="V879" s="427"/>
      <c r="W879" s="427"/>
      <c r="X879" s="299"/>
      <c r="Y879" s="427"/>
      <c r="Z879" s="427"/>
      <c r="AA879" s="427"/>
      <c r="AB879" s="427"/>
      <c r="AC879" s="427"/>
      <c r="AD879" s="427"/>
      <c r="AE879" s="427"/>
      <c r="AF879" s="427"/>
    </row>
    <row r="880" spans="15:32" x14ac:dyDescent="0.25">
      <c r="O880" s="427"/>
      <c r="P880" s="427"/>
      <c r="Q880" s="427"/>
      <c r="R880" s="427"/>
      <c r="S880" s="427"/>
      <c r="T880" s="427"/>
      <c r="U880" s="427"/>
      <c r="V880" s="427"/>
      <c r="W880" s="427"/>
      <c r="X880" s="299"/>
      <c r="Y880" s="427"/>
      <c r="Z880" s="427"/>
      <c r="AA880" s="427"/>
      <c r="AB880" s="427"/>
      <c r="AC880" s="427"/>
      <c r="AD880" s="427"/>
      <c r="AE880" s="427"/>
      <c r="AF880" s="427"/>
    </row>
    <row r="881" spans="15:32" x14ac:dyDescent="0.25">
      <c r="O881" s="427"/>
      <c r="P881" s="427"/>
      <c r="Q881" s="427"/>
      <c r="R881" s="427"/>
      <c r="S881" s="427"/>
      <c r="T881" s="427"/>
      <c r="U881" s="427"/>
      <c r="V881" s="427"/>
      <c r="W881" s="427"/>
      <c r="X881" s="299"/>
      <c r="Y881" s="427"/>
      <c r="Z881" s="427"/>
      <c r="AA881" s="427"/>
      <c r="AB881" s="427"/>
      <c r="AC881" s="427"/>
      <c r="AD881" s="427"/>
      <c r="AE881" s="427"/>
      <c r="AF881" s="427"/>
    </row>
    <row r="882" spans="15:32" x14ac:dyDescent="0.25">
      <c r="O882" s="427"/>
      <c r="P882" s="427"/>
      <c r="Q882" s="427"/>
      <c r="R882" s="427"/>
      <c r="S882" s="427"/>
      <c r="T882" s="427"/>
      <c r="U882" s="427"/>
      <c r="V882" s="427"/>
      <c r="W882" s="427"/>
      <c r="X882" s="299"/>
      <c r="Y882" s="427"/>
      <c r="Z882" s="427"/>
      <c r="AA882" s="427"/>
      <c r="AB882" s="427"/>
      <c r="AC882" s="427"/>
      <c r="AD882" s="427"/>
      <c r="AE882" s="427"/>
      <c r="AF882" s="427"/>
    </row>
    <row r="883" spans="15:32" x14ac:dyDescent="0.25">
      <c r="O883" s="427"/>
      <c r="P883" s="427"/>
      <c r="Q883" s="427"/>
      <c r="R883" s="427"/>
      <c r="S883" s="427"/>
      <c r="T883" s="427"/>
      <c r="U883" s="427"/>
      <c r="V883" s="427"/>
      <c r="W883" s="427"/>
      <c r="X883" s="299"/>
      <c r="Y883" s="427"/>
      <c r="Z883" s="427"/>
      <c r="AA883" s="427"/>
      <c r="AB883" s="427"/>
      <c r="AC883" s="427"/>
      <c r="AD883" s="427"/>
      <c r="AE883" s="427"/>
      <c r="AF883" s="427"/>
    </row>
    <row r="884" spans="15:32" x14ac:dyDescent="0.25">
      <c r="O884" s="427"/>
      <c r="P884" s="427"/>
      <c r="Q884" s="427"/>
      <c r="R884" s="427"/>
      <c r="S884" s="427"/>
      <c r="T884" s="427"/>
      <c r="U884" s="427"/>
      <c r="V884" s="427"/>
      <c r="W884" s="427"/>
      <c r="X884" s="299"/>
      <c r="Y884" s="427"/>
      <c r="Z884" s="427"/>
      <c r="AA884" s="427"/>
      <c r="AB884" s="427"/>
      <c r="AC884" s="427"/>
      <c r="AD884" s="427"/>
      <c r="AE884" s="427"/>
      <c r="AF884" s="427"/>
    </row>
    <row r="885" spans="15:32" x14ac:dyDescent="0.25">
      <c r="O885" s="427"/>
      <c r="P885" s="427"/>
      <c r="Q885" s="427"/>
      <c r="R885" s="427"/>
      <c r="S885" s="427"/>
      <c r="T885" s="427"/>
      <c r="U885" s="427"/>
      <c r="V885" s="427"/>
      <c r="W885" s="427"/>
      <c r="X885" s="299"/>
      <c r="Y885" s="427"/>
      <c r="Z885" s="427"/>
      <c r="AA885" s="427"/>
      <c r="AB885" s="427"/>
      <c r="AC885" s="427"/>
      <c r="AD885" s="427"/>
      <c r="AE885" s="427"/>
      <c r="AF885" s="427"/>
    </row>
    <row r="886" spans="15:32" x14ac:dyDescent="0.25">
      <c r="O886" s="427"/>
      <c r="P886" s="427"/>
      <c r="Q886" s="427"/>
      <c r="R886" s="427"/>
      <c r="S886" s="427"/>
      <c r="T886" s="427"/>
      <c r="U886" s="427"/>
      <c r="V886" s="427"/>
      <c r="W886" s="427"/>
      <c r="X886" s="299"/>
      <c r="Y886" s="427"/>
      <c r="Z886" s="427"/>
      <c r="AA886" s="427"/>
      <c r="AB886" s="427"/>
      <c r="AC886" s="427"/>
      <c r="AD886" s="427"/>
      <c r="AE886" s="427"/>
      <c r="AF886" s="427"/>
    </row>
    <row r="887" spans="15:32" x14ac:dyDescent="0.25">
      <c r="O887" s="427"/>
      <c r="P887" s="427"/>
      <c r="Q887" s="427"/>
      <c r="R887" s="427"/>
      <c r="S887" s="427"/>
      <c r="T887" s="427"/>
      <c r="U887" s="427"/>
      <c r="V887" s="427"/>
      <c r="W887" s="427"/>
      <c r="X887" s="299"/>
      <c r="Y887" s="427"/>
      <c r="Z887" s="427"/>
      <c r="AA887" s="427"/>
      <c r="AB887" s="427"/>
      <c r="AC887" s="427"/>
      <c r="AD887" s="427"/>
      <c r="AE887" s="427"/>
      <c r="AF887" s="427"/>
    </row>
    <row r="888" spans="15:32" x14ac:dyDescent="0.25">
      <c r="O888" s="427"/>
      <c r="P888" s="427"/>
      <c r="Q888" s="427"/>
      <c r="R888" s="427"/>
      <c r="S888" s="427"/>
      <c r="T888" s="427"/>
      <c r="U888" s="427"/>
      <c r="V888" s="427"/>
      <c r="W888" s="427"/>
      <c r="X888" s="299"/>
      <c r="Y888" s="427"/>
      <c r="Z888" s="427"/>
      <c r="AA888" s="427"/>
      <c r="AB888" s="427"/>
      <c r="AC888" s="427"/>
      <c r="AD888" s="427"/>
      <c r="AE888" s="427"/>
      <c r="AF888" s="427"/>
    </row>
    <row r="889" spans="15:32" x14ac:dyDescent="0.25">
      <c r="O889" s="427"/>
      <c r="P889" s="427"/>
      <c r="Q889" s="427"/>
      <c r="R889" s="427"/>
      <c r="S889" s="427"/>
      <c r="T889" s="427"/>
      <c r="U889" s="427"/>
      <c r="V889" s="427"/>
      <c r="W889" s="427"/>
      <c r="X889" s="299"/>
      <c r="Y889" s="427"/>
      <c r="Z889" s="427"/>
      <c r="AA889" s="427"/>
      <c r="AB889" s="427"/>
      <c r="AC889" s="427"/>
      <c r="AD889" s="427"/>
      <c r="AE889" s="427"/>
      <c r="AF889" s="427"/>
    </row>
    <row r="890" spans="15:32" x14ac:dyDescent="0.25">
      <c r="O890" s="427"/>
      <c r="P890" s="427"/>
      <c r="Q890" s="427"/>
      <c r="R890" s="427"/>
      <c r="S890" s="427"/>
      <c r="T890" s="427"/>
      <c r="U890" s="427"/>
      <c r="V890" s="427"/>
      <c r="W890" s="427"/>
      <c r="X890" s="299"/>
      <c r="Y890" s="427"/>
      <c r="Z890" s="427"/>
      <c r="AA890" s="427"/>
      <c r="AB890" s="427"/>
      <c r="AC890" s="427"/>
      <c r="AD890" s="427"/>
      <c r="AE890" s="427"/>
      <c r="AF890" s="427"/>
    </row>
  </sheetData>
  <mergeCells count="4">
    <mergeCell ref="C2:H2"/>
    <mergeCell ref="I2:N2"/>
    <mergeCell ref="O2:W2"/>
    <mergeCell ref="X2:AF2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03F68-4938-4937-B212-DC888D9E008F}">
  <dimension ref="A1:AN167"/>
  <sheetViews>
    <sheetView tabSelected="1" zoomScale="75" zoomScaleNormal="75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B4" sqref="B4"/>
    </sheetView>
  </sheetViews>
  <sheetFormatPr defaultColWidth="9.140625" defaultRowHeight="18.75" outlineLevelRow="1" x14ac:dyDescent="0.3"/>
  <cols>
    <col min="1" max="1" width="12.28515625" style="528" customWidth="1"/>
    <col min="2" max="2" width="69.42578125" style="529" customWidth="1"/>
    <col min="3" max="3" width="18.7109375" style="530" customWidth="1"/>
    <col min="4" max="4" width="17.140625" style="530" customWidth="1"/>
    <col min="5" max="6" width="18.7109375" style="530" customWidth="1"/>
    <col min="7" max="8" width="12.7109375" style="544" customWidth="1"/>
    <col min="9" max="9" width="19.28515625" style="530" customWidth="1"/>
    <col min="10" max="10" width="17.28515625" style="530" customWidth="1"/>
    <col min="11" max="12" width="19.28515625" style="530" customWidth="1"/>
    <col min="13" max="14" width="12.7109375" style="553" customWidth="1"/>
    <col min="15" max="24" width="12.7109375" style="545" customWidth="1"/>
    <col min="25" max="25" width="12.5703125" style="531" hidden="1" customWidth="1"/>
    <col min="26" max="26" width="13.85546875" style="531" hidden="1" customWidth="1"/>
    <col min="27" max="33" width="12.5703125" style="531" hidden="1" customWidth="1"/>
    <col min="34" max="34" width="14" style="531" hidden="1" customWidth="1"/>
    <col min="35" max="35" width="11.7109375" style="529" customWidth="1"/>
    <col min="36" max="16384" width="9.140625" style="529"/>
  </cols>
  <sheetData>
    <row r="1" spans="1:40" x14ac:dyDescent="0.3">
      <c r="O1" s="572"/>
    </row>
    <row r="3" spans="1:40" ht="30" customHeight="1" x14ac:dyDescent="0.3">
      <c r="A3" s="555"/>
      <c r="B3" s="542" t="s">
        <v>1452</v>
      </c>
      <c r="C3" s="606" t="s">
        <v>1351</v>
      </c>
      <c r="D3" s="606"/>
      <c r="E3" s="606"/>
      <c r="F3" s="606"/>
      <c r="G3" s="606"/>
      <c r="H3" s="574"/>
      <c r="I3" s="607" t="s">
        <v>1352</v>
      </c>
      <c r="J3" s="608"/>
      <c r="K3" s="608"/>
      <c r="L3" s="608"/>
      <c r="M3" s="609"/>
      <c r="N3" s="573"/>
      <c r="O3" s="611" t="s">
        <v>1448</v>
      </c>
      <c r="P3" s="611"/>
      <c r="Q3" s="611"/>
      <c r="R3" s="611"/>
      <c r="S3" s="611"/>
      <c r="T3" s="611"/>
      <c r="U3" s="611"/>
      <c r="V3" s="611"/>
      <c r="W3" s="611"/>
      <c r="X3" s="611"/>
      <c r="Y3" s="610" t="s">
        <v>1446</v>
      </c>
      <c r="Z3" s="610"/>
      <c r="AA3" s="610"/>
      <c r="AB3" s="610"/>
      <c r="AC3" s="610"/>
      <c r="AD3" s="610"/>
      <c r="AE3" s="610"/>
      <c r="AF3" s="610"/>
      <c r="AG3" s="610"/>
      <c r="AH3" s="610"/>
    </row>
    <row r="4" spans="1:40" ht="51" customHeight="1" x14ac:dyDescent="0.3">
      <c r="A4" s="555" t="s">
        <v>7</v>
      </c>
      <c r="B4" s="556" t="s">
        <v>1195</v>
      </c>
      <c r="C4" s="557" t="s">
        <v>1444</v>
      </c>
      <c r="D4" s="557" t="s">
        <v>1445</v>
      </c>
      <c r="E4" s="557" t="s">
        <v>1448</v>
      </c>
      <c r="F4" s="557" t="s">
        <v>1447</v>
      </c>
      <c r="G4" s="546" t="s">
        <v>1450</v>
      </c>
      <c r="H4" s="546" t="s">
        <v>1451</v>
      </c>
      <c r="I4" s="558" t="s">
        <v>1444</v>
      </c>
      <c r="J4" s="558" t="s">
        <v>1445</v>
      </c>
      <c r="K4" s="558" t="s">
        <v>1449</v>
      </c>
      <c r="L4" s="558" t="s">
        <v>1447</v>
      </c>
      <c r="M4" s="552" t="s">
        <v>1450</v>
      </c>
      <c r="N4" s="552" t="s">
        <v>1451</v>
      </c>
      <c r="O4" s="571" t="s">
        <v>44</v>
      </c>
      <c r="P4" s="571" t="s">
        <v>88</v>
      </c>
      <c r="Q4" s="571" t="s">
        <v>45</v>
      </c>
      <c r="R4" s="571" t="s">
        <v>46</v>
      </c>
      <c r="S4" s="571" t="s">
        <v>885</v>
      </c>
      <c r="T4" s="571" t="s">
        <v>60</v>
      </c>
      <c r="U4" s="571" t="s">
        <v>886</v>
      </c>
      <c r="V4" s="571" t="s">
        <v>693</v>
      </c>
      <c r="W4" s="571" t="s">
        <v>1442</v>
      </c>
      <c r="X4" s="571" t="s">
        <v>1443</v>
      </c>
      <c r="Y4" s="569" t="s">
        <v>44</v>
      </c>
      <c r="Z4" s="569" t="s">
        <v>88</v>
      </c>
      <c r="AA4" s="569" t="s">
        <v>45</v>
      </c>
      <c r="AB4" s="569" t="s">
        <v>46</v>
      </c>
      <c r="AC4" s="569" t="s">
        <v>885</v>
      </c>
      <c r="AD4" s="569" t="s">
        <v>60</v>
      </c>
      <c r="AE4" s="569" t="s">
        <v>886</v>
      </c>
      <c r="AF4" s="569" t="s">
        <v>693</v>
      </c>
      <c r="AG4" s="569" t="s">
        <v>1442</v>
      </c>
      <c r="AH4" s="569" t="s">
        <v>1443</v>
      </c>
    </row>
    <row r="5" spans="1:40" s="534" customFormat="1" x14ac:dyDescent="0.3">
      <c r="A5" s="567" t="s">
        <v>476</v>
      </c>
      <c r="B5" s="559" t="s">
        <v>457</v>
      </c>
      <c r="C5" s="533">
        <v>5944.39</v>
      </c>
      <c r="D5" s="533">
        <v>10354</v>
      </c>
      <c r="E5" s="533">
        <f>+E7+E10+E12+E14+E16</f>
        <v>6460.6500000000005</v>
      </c>
      <c r="F5" s="533">
        <f>+F7+F10+F12+F14+F16</f>
        <v>10200</v>
      </c>
      <c r="G5" s="547">
        <f t="shared" ref="G5:G17" si="0">+E5/D5</f>
        <v>0.6239762410662546</v>
      </c>
      <c r="H5" s="547">
        <f t="shared" ref="H5:H17" si="1">+E5/C5</f>
        <v>1.0868482720682862</v>
      </c>
      <c r="I5" s="533">
        <v>5763.73</v>
      </c>
      <c r="J5" s="533">
        <v>10514</v>
      </c>
      <c r="K5" s="533">
        <f t="shared" ref="K5:K17" si="2">SUM(O5:X5)</f>
        <v>7817.2300000000005</v>
      </c>
      <c r="L5" s="533">
        <f t="shared" ref="L5:L17" si="3">SUM(Y5:AH5)</f>
        <v>10700</v>
      </c>
      <c r="M5" s="566">
        <f t="shared" ref="M5:M17" si="4">+K5/J5</f>
        <v>0.74350675290089407</v>
      </c>
      <c r="N5" s="566">
        <f t="shared" ref="N5" si="5">+K5/I5</f>
        <v>1.3562797008187408</v>
      </c>
      <c r="O5" s="533">
        <f t="shared" ref="O5:X5" si="6">+O7+O10+O12+O14+O16</f>
        <v>0</v>
      </c>
      <c r="P5" s="533">
        <f t="shared" si="6"/>
        <v>5776.39</v>
      </c>
      <c r="Q5" s="533">
        <f t="shared" si="6"/>
        <v>0</v>
      </c>
      <c r="R5" s="533">
        <f t="shared" si="6"/>
        <v>0</v>
      </c>
      <c r="S5" s="533">
        <f t="shared" si="6"/>
        <v>0</v>
      </c>
      <c r="T5" s="533">
        <f t="shared" si="6"/>
        <v>0</v>
      </c>
      <c r="U5" s="533">
        <f t="shared" si="6"/>
        <v>2000</v>
      </c>
      <c r="V5" s="533">
        <f t="shared" si="6"/>
        <v>40.840000000000003</v>
      </c>
      <c r="W5" s="533">
        <f t="shared" si="6"/>
        <v>0</v>
      </c>
      <c r="X5" s="533">
        <f t="shared" si="6"/>
        <v>0</v>
      </c>
      <c r="Y5" s="533">
        <f>+Y7+Y10+Y12+Y14+Y16</f>
        <v>2600</v>
      </c>
      <c r="Z5" s="533">
        <f t="shared" ref="Z5:AH5" si="7">+Z7+Z10+Z12+Z14+Z16</f>
        <v>7100</v>
      </c>
      <c r="AA5" s="533">
        <f t="shared" si="7"/>
        <v>0</v>
      </c>
      <c r="AB5" s="533">
        <f t="shared" si="7"/>
        <v>0</v>
      </c>
      <c r="AC5" s="533">
        <f t="shared" si="7"/>
        <v>0</v>
      </c>
      <c r="AD5" s="533">
        <f t="shared" si="7"/>
        <v>0</v>
      </c>
      <c r="AE5" s="533">
        <f t="shared" si="7"/>
        <v>1000</v>
      </c>
      <c r="AF5" s="533">
        <f t="shared" si="7"/>
        <v>0</v>
      </c>
      <c r="AG5" s="533">
        <f t="shared" si="7"/>
        <v>0</v>
      </c>
      <c r="AH5" s="533">
        <f t="shared" si="7"/>
        <v>0</v>
      </c>
      <c r="AI5" s="568"/>
      <c r="AJ5" s="532"/>
      <c r="AK5" s="532"/>
      <c r="AL5" s="532"/>
      <c r="AM5" s="532"/>
      <c r="AN5" s="532"/>
    </row>
    <row r="6" spans="1:40" s="541" customFormat="1" x14ac:dyDescent="0.3">
      <c r="A6" s="563"/>
      <c r="B6" s="564" t="s">
        <v>1343</v>
      </c>
      <c r="C6" s="540"/>
      <c r="D6" s="540"/>
      <c r="E6" s="540"/>
      <c r="F6" s="540"/>
      <c r="G6" s="550"/>
      <c r="H6" s="550"/>
      <c r="I6" s="540">
        <v>-180.66000000000076</v>
      </c>
      <c r="J6" s="540">
        <v>-3671.42</v>
      </c>
      <c r="K6" s="540"/>
      <c r="L6" s="540"/>
      <c r="M6" s="554"/>
      <c r="N6" s="554"/>
      <c r="O6" s="570"/>
      <c r="P6" s="570"/>
      <c r="Q6" s="570"/>
      <c r="R6" s="570"/>
      <c r="S6" s="570"/>
      <c r="T6" s="570"/>
      <c r="U6" s="570"/>
      <c r="V6" s="570"/>
      <c r="W6" s="570"/>
      <c r="X6" s="570"/>
      <c r="Y6" s="570"/>
      <c r="Z6" s="570"/>
      <c r="AA6" s="570"/>
      <c r="AB6" s="570"/>
      <c r="AC6" s="570"/>
      <c r="AD6" s="570"/>
      <c r="AE6" s="570"/>
      <c r="AF6" s="570"/>
      <c r="AG6" s="570"/>
      <c r="AH6" s="570"/>
      <c r="AI6" s="539"/>
      <c r="AJ6" s="539"/>
      <c r="AK6" s="539"/>
      <c r="AL6" s="539"/>
      <c r="AM6" s="539"/>
      <c r="AN6" s="539"/>
    </row>
    <row r="7" spans="1:40" s="536" customFormat="1" x14ac:dyDescent="0.3">
      <c r="A7" s="560" t="s">
        <v>478</v>
      </c>
      <c r="B7" s="561" t="s">
        <v>265</v>
      </c>
      <c r="C7" s="535">
        <v>644.54</v>
      </c>
      <c r="D7" s="535">
        <v>1154</v>
      </c>
      <c r="E7" s="535">
        <f>+E8+E9</f>
        <v>196.54</v>
      </c>
      <c r="F7" s="535">
        <f>+F8+F9</f>
        <v>600</v>
      </c>
      <c r="G7" s="548">
        <f t="shared" si="0"/>
        <v>0.17031195840554592</v>
      </c>
      <c r="H7" s="548">
        <f t="shared" si="1"/>
        <v>0.30493064821423033</v>
      </c>
      <c r="I7" s="535"/>
      <c r="J7" s="535">
        <v>754</v>
      </c>
      <c r="K7" s="535">
        <f t="shared" si="2"/>
        <v>0</v>
      </c>
      <c r="L7" s="535">
        <f t="shared" si="3"/>
        <v>600</v>
      </c>
      <c r="M7" s="292">
        <f t="shared" si="4"/>
        <v>0</v>
      </c>
      <c r="N7" s="292"/>
      <c r="O7" s="535">
        <f t="shared" ref="O7:X7" si="8">+O8+O9</f>
        <v>0</v>
      </c>
      <c r="P7" s="535">
        <f t="shared" si="8"/>
        <v>0</v>
      </c>
      <c r="Q7" s="535">
        <f t="shared" si="8"/>
        <v>0</v>
      </c>
      <c r="R7" s="535">
        <f t="shared" si="8"/>
        <v>0</v>
      </c>
      <c r="S7" s="535">
        <f t="shared" si="8"/>
        <v>0</v>
      </c>
      <c r="T7" s="535">
        <f t="shared" si="8"/>
        <v>0</v>
      </c>
      <c r="U7" s="535">
        <f t="shared" si="8"/>
        <v>0</v>
      </c>
      <c r="V7" s="535">
        <f t="shared" si="8"/>
        <v>0</v>
      </c>
      <c r="W7" s="535">
        <f t="shared" si="8"/>
        <v>0</v>
      </c>
      <c r="X7" s="535">
        <f t="shared" si="8"/>
        <v>0</v>
      </c>
      <c r="Y7" s="535">
        <f>+Y8+Y9</f>
        <v>600</v>
      </c>
      <c r="Z7" s="535">
        <f t="shared" ref="Z7:AH7" si="9">+Z8+Z9</f>
        <v>0</v>
      </c>
      <c r="AA7" s="535">
        <f t="shared" si="9"/>
        <v>0</v>
      </c>
      <c r="AB7" s="535">
        <f t="shared" si="9"/>
        <v>0</v>
      </c>
      <c r="AC7" s="535">
        <f t="shared" si="9"/>
        <v>0</v>
      </c>
      <c r="AD7" s="535">
        <f t="shared" si="9"/>
        <v>0</v>
      </c>
      <c r="AE7" s="535">
        <f t="shared" si="9"/>
        <v>0</v>
      </c>
      <c r="AF7" s="535">
        <f t="shared" si="9"/>
        <v>0</v>
      </c>
      <c r="AG7" s="535">
        <f t="shared" si="9"/>
        <v>0</v>
      </c>
      <c r="AH7" s="535">
        <f t="shared" si="9"/>
        <v>0</v>
      </c>
      <c r="AI7" s="532"/>
      <c r="AJ7" s="532"/>
      <c r="AK7" s="532"/>
      <c r="AL7" s="532"/>
      <c r="AM7" s="532"/>
      <c r="AN7" s="532"/>
    </row>
    <row r="8" spans="1:40" outlineLevel="1" x14ac:dyDescent="0.3">
      <c r="A8" s="562" t="s">
        <v>479</v>
      </c>
      <c r="B8" s="538" t="s">
        <v>281</v>
      </c>
      <c r="C8" s="537">
        <v>134.24</v>
      </c>
      <c r="D8" s="537">
        <v>154</v>
      </c>
      <c r="E8" s="537">
        <v>196.54</v>
      </c>
      <c r="F8" s="537">
        <v>200</v>
      </c>
      <c r="G8" s="549">
        <f t="shared" si="0"/>
        <v>1.2762337662337662</v>
      </c>
      <c r="H8" s="549">
        <f t="shared" si="1"/>
        <v>1.464094159713945</v>
      </c>
      <c r="I8" s="537"/>
      <c r="J8" s="537">
        <v>154</v>
      </c>
      <c r="K8" s="537">
        <f t="shared" si="2"/>
        <v>0</v>
      </c>
      <c r="L8" s="537">
        <f t="shared" si="3"/>
        <v>200</v>
      </c>
      <c r="M8" s="551">
        <f t="shared" si="4"/>
        <v>0</v>
      </c>
      <c r="N8" s="551"/>
      <c r="O8" s="371"/>
      <c r="P8" s="371"/>
      <c r="Q8" s="371"/>
      <c r="R8" s="371"/>
      <c r="S8" s="371"/>
      <c r="T8" s="371"/>
      <c r="U8" s="371"/>
      <c r="V8" s="371"/>
      <c r="W8" s="371"/>
      <c r="X8" s="371"/>
      <c r="Y8" s="371">
        <v>200</v>
      </c>
      <c r="Z8" s="371"/>
      <c r="AA8" s="371"/>
      <c r="AB8" s="371"/>
      <c r="AC8" s="371"/>
      <c r="AD8" s="371"/>
      <c r="AE8" s="371"/>
      <c r="AF8" s="371"/>
      <c r="AG8" s="371"/>
      <c r="AH8" s="371"/>
    </row>
    <row r="9" spans="1:40" outlineLevel="1" x14ac:dyDescent="0.3">
      <c r="A9" s="543" t="s">
        <v>480</v>
      </c>
      <c r="B9" s="538" t="s">
        <v>309</v>
      </c>
      <c r="C9" s="537">
        <v>510.3</v>
      </c>
      <c r="D9" s="537">
        <v>1000</v>
      </c>
      <c r="E9" s="537"/>
      <c r="F9" s="537">
        <v>400</v>
      </c>
      <c r="G9" s="549">
        <f t="shared" si="0"/>
        <v>0</v>
      </c>
      <c r="H9" s="549">
        <f t="shared" si="1"/>
        <v>0</v>
      </c>
      <c r="I9" s="537"/>
      <c r="J9" s="537">
        <v>600</v>
      </c>
      <c r="K9" s="537">
        <f t="shared" si="2"/>
        <v>0</v>
      </c>
      <c r="L9" s="537">
        <f t="shared" si="3"/>
        <v>400</v>
      </c>
      <c r="M9" s="551">
        <f t="shared" si="4"/>
        <v>0</v>
      </c>
      <c r="N9" s="551"/>
      <c r="O9" s="371"/>
      <c r="P9" s="371"/>
      <c r="Q9" s="371"/>
      <c r="R9" s="371"/>
      <c r="S9" s="371"/>
      <c r="T9" s="371"/>
      <c r="U9" s="371"/>
      <c r="V9" s="371"/>
      <c r="W9" s="371"/>
      <c r="X9" s="371"/>
      <c r="Y9" s="371">
        <v>400</v>
      </c>
      <c r="Z9" s="371"/>
      <c r="AA9" s="371"/>
      <c r="AB9" s="371"/>
      <c r="AC9" s="371"/>
      <c r="AD9" s="371"/>
      <c r="AE9" s="371"/>
      <c r="AF9" s="371"/>
      <c r="AG9" s="371"/>
      <c r="AH9" s="371"/>
    </row>
    <row r="10" spans="1:40" s="536" customFormat="1" x14ac:dyDescent="0.3">
      <c r="A10" s="560" t="s">
        <v>483</v>
      </c>
      <c r="B10" s="561" t="s">
        <v>248</v>
      </c>
      <c r="C10" s="535">
        <v>3014.52</v>
      </c>
      <c r="D10" s="535">
        <v>4000</v>
      </c>
      <c r="E10" s="535">
        <f>+E11</f>
        <v>3150.75</v>
      </c>
      <c r="F10" s="535">
        <f>+F11</f>
        <v>4500</v>
      </c>
      <c r="G10" s="548">
        <f t="shared" si="0"/>
        <v>0.78768749999999998</v>
      </c>
      <c r="H10" s="548">
        <f t="shared" si="1"/>
        <v>1.0451912742327136</v>
      </c>
      <c r="I10" s="535"/>
      <c r="J10" s="535">
        <v>4160</v>
      </c>
      <c r="K10" s="535">
        <f t="shared" si="2"/>
        <v>4217.2300000000005</v>
      </c>
      <c r="L10" s="535">
        <f t="shared" si="3"/>
        <v>5000</v>
      </c>
      <c r="M10" s="292">
        <f t="shared" si="4"/>
        <v>1.0137572115384617</v>
      </c>
      <c r="N10" s="292"/>
      <c r="O10" s="535">
        <f t="shared" ref="O10:X10" si="10">+O11</f>
        <v>0</v>
      </c>
      <c r="P10" s="535">
        <f t="shared" si="10"/>
        <v>4176.3900000000003</v>
      </c>
      <c r="Q10" s="535">
        <f t="shared" si="10"/>
        <v>0</v>
      </c>
      <c r="R10" s="535">
        <f t="shared" si="10"/>
        <v>0</v>
      </c>
      <c r="S10" s="535">
        <f t="shared" si="10"/>
        <v>0</v>
      </c>
      <c r="T10" s="535">
        <f t="shared" si="10"/>
        <v>0</v>
      </c>
      <c r="U10" s="535">
        <f t="shared" si="10"/>
        <v>0</v>
      </c>
      <c r="V10" s="535">
        <f t="shared" si="10"/>
        <v>40.840000000000003</v>
      </c>
      <c r="W10" s="535">
        <f t="shared" si="10"/>
        <v>0</v>
      </c>
      <c r="X10" s="535">
        <f t="shared" si="10"/>
        <v>0</v>
      </c>
      <c r="Y10" s="535">
        <f>+Y11</f>
        <v>0</v>
      </c>
      <c r="Z10" s="535">
        <f t="shared" ref="Z10:AH10" si="11">+Z11</f>
        <v>5000</v>
      </c>
      <c r="AA10" s="535">
        <f t="shared" si="11"/>
        <v>0</v>
      </c>
      <c r="AB10" s="535">
        <f t="shared" si="11"/>
        <v>0</v>
      </c>
      <c r="AC10" s="535">
        <f t="shared" si="11"/>
        <v>0</v>
      </c>
      <c r="AD10" s="535">
        <f t="shared" si="11"/>
        <v>0</v>
      </c>
      <c r="AE10" s="535">
        <f t="shared" si="11"/>
        <v>0</v>
      </c>
      <c r="AF10" s="535">
        <f t="shared" si="11"/>
        <v>0</v>
      </c>
      <c r="AG10" s="535">
        <f t="shared" si="11"/>
        <v>0</v>
      </c>
      <c r="AH10" s="535">
        <f t="shared" si="11"/>
        <v>0</v>
      </c>
      <c r="AI10" s="532"/>
      <c r="AJ10" s="532"/>
      <c r="AK10" s="532"/>
      <c r="AL10" s="532"/>
      <c r="AM10" s="532"/>
      <c r="AN10" s="532"/>
    </row>
    <row r="11" spans="1:40" outlineLevel="1" x14ac:dyDescent="0.3">
      <c r="A11" s="543" t="s">
        <v>484</v>
      </c>
      <c r="B11" s="538" t="s">
        <v>248</v>
      </c>
      <c r="C11" s="537">
        <v>3014.52</v>
      </c>
      <c r="D11" s="537">
        <v>4000</v>
      </c>
      <c r="E11" s="537">
        <v>3150.75</v>
      </c>
      <c r="F11" s="537">
        <v>4500</v>
      </c>
      <c r="G11" s="549">
        <f t="shared" si="0"/>
        <v>0.78768749999999998</v>
      </c>
      <c r="H11" s="549">
        <f t="shared" si="1"/>
        <v>1.0451912742327136</v>
      </c>
      <c r="I11" s="537"/>
      <c r="J11" s="537">
        <v>4160</v>
      </c>
      <c r="K11" s="537">
        <f t="shared" si="2"/>
        <v>4217.2300000000005</v>
      </c>
      <c r="L11" s="537">
        <f t="shared" si="3"/>
        <v>5000</v>
      </c>
      <c r="M11" s="551">
        <f t="shared" si="4"/>
        <v>1.0137572115384617</v>
      </c>
      <c r="N11" s="551"/>
      <c r="O11" s="371"/>
      <c r="P11" s="371">
        <v>4176.3900000000003</v>
      </c>
      <c r="Q11" s="371"/>
      <c r="R11" s="371"/>
      <c r="S11" s="371"/>
      <c r="T11" s="371"/>
      <c r="U11" s="371"/>
      <c r="V11" s="371">
        <v>40.840000000000003</v>
      </c>
      <c r="W11" s="371"/>
      <c r="X11" s="371"/>
      <c r="Y11" s="371"/>
      <c r="Z11" s="371">
        <v>5000</v>
      </c>
      <c r="AA11" s="371"/>
      <c r="AB11" s="371"/>
      <c r="AC11" s="371"/>
      <c r="AD11" s="371"/>
      <c r="AE11" s="371"/>
      <c r="AF11" s="371"/>
      <c r="AG11" s="371"/>
      <c r="AH11" s="371"/>
    </row>
    <row r="12" spans="1:40" s="536" customFormat="1" x14ac:dyDescent="0.3">
      <c r="A12" s="560" t="s">
        <v>487</v>
      </c>
      <c r="B12" s="561" t="s">
        <v>666</v>
      </c>
      <c r="C12" s="535">
        <v>1066.29</v>
      </c>
      <c r="D12" s="535">
        <v>1600</v>
      </c>
      <c r="E12" s="535">
        <f>+E13</f>
        <v>764.6</v>
      </c>
      <c r="F12" s="535">
        <f>+F13</f>
        <v>1500</v>
      </c>
      <c r="G12" s="548">
        <f t="shared" si="0"/>
        <v>0.47787499999999999</v>
      </c>
      <c r="H12" s="548">
        <f t="shared" si="1"/>
        <v>0.71706571383019635</v>
      </c>
      <c r="I12" s="535"/>
      <c r="J12" s="535">
        <v>1600</v>
      </c>
      <c r="K12" s="535">
        <f t="shared" si="2"/>
        <v>1600</v>
      </c>
      <c r="L12" s="535">
        <f t="shared" si="3"/>
        <v>1500</v>
      </c>
      <c r="M12" s="292">
        <f t="shared" si="4"/>
        <v>1</v>
      </c>
      <c r="N12" s="292"/>
      <c r="O12" s="535">
        <f t="shared" ref="O12:X12" si="12">+O13</f>
        <v>0</v>
      </c>
      <c r="P12" s="535">
        <f t="shared" si="12"/>
        <v>1600</v>
      </c>
      <c r="Q12" s="535">
        <f t="shared" si="12"/>
        <v>0</v>
      </c>
      <c r="R12" s="535">
        <f t="shared" si="12"/>
        <v>0</v>
      </c>
      <c r="S12" s="535">
        <f t="shared" si="12"/>
        <v>0</v>
      </c>
      <c r="T12" s="535">
        <f t="shared" si="12"/>
        <v>0</v>
      </c>
      <c r="U12" s="535">
        <f t="shared" si="12"/>
        <v>0</v>
      </c>
      <c r="V12" s="535">
        <f t="shared" si="12"/>
        <v>0</v>
      </c>
      <c r="W12" s="535">
        <f t="shared" si="12"/>
        <v>0</v>
      </c>
      <c r="X12" s="535">
        <f t="shared" si="12"/>
        <v>0</v>
      </c>
      <c r="Y12" s="535">
        <f>+Y13</f>
        <v>0</v>
      </c>
      <c r="Z12" s="535">
        <f t="shared" ref="Z12:AH12" si="13">+Z13</f>
        <v>1500</v>
      </c>
      <c r="AA12" s="535">
        <f t="shared" si="13"/>
        <v>0</v>
      </c>
      <c r="AB12" s="535">
        <f t="shared" si="13"/>
        <v>0</v>
      </c>
      <c r="AC12" s="535">
        <f t="shared" si="13"/>
        <v>0</v>
      </c>
      <c r="AD12" s="535">
        <f t="shared" si="13"/>
        <v>0</v>
      </c>
      <c r="AE12" s="535">
        <f t="shared" si="13"/>
        <v>0</v>
      </c>
      <c r="AF12" s="535">
        <f t="shared" si="13"/>
        <v>0</v>
      </c>
      <c r="AG12" s="535">
        <f t="shared" si="13"/>
        <v>0</v>
      </c>
      <c r="AH12" s="535">
        <f t="shared" si="13"/>
        <v>0</v>
      </c>
      <c r="AI12" s="532"/>
      <c r="AJ12" s="532"/>
      <c r="AK12" s="532"/>
      <c r="AL12" s="532"/>
      <c r="AM12" s="532"/>
      <c r="AN12" s="532"/>
    </row>
    <row r="13" spans="1:40" outlineLevel="1" x14ac:dyDescent="0.3">
      <c r="A13" s="543" t="s">
        <v>488</v>
      </c>
      <c r="B13" s="538" t="s">
        <v>1150</v>
      </c>
      <c r="C13" s="537">
        <v>1066.29</v>
      </c>
      <c r="D13" s="537">
        <v>1600</v>
      </c>
      <c r="E13" s="537">
        <v>764.6</v>
      </c>
      <c r="F13" s="537">
        <v>1500</v>
      </c>
      <c r="G13" s="549">
        <f t="shared" si="0"/>
        <v>0.47787499999999999</v>
      </c>
      <c r="H13" s="549">
        <f t="shared" si="1"/>
        <v>0.71706571383019635</v>
      </c>
      <c r="I13" s="537"/>
      <c r="J13" s="537">
        <v>1600</v>
      </c>
      <c r="K13" s="537">
        <f t="shared" si="2"/>
        <v>1600</v>
      </c>
      <c r="L13" s="537">
        <f t="shared" si="3"/>
        <v>1500</v>
      </c>
      <c r="M13" s="551">
        <f t="shared" si="4"/>
        <v>1</v>
      </c>
      <c r="N13" s="551"/>
      <c r="O13" s="371"/>
      <c r="P13" s="371">
        <v>1600</v>
      </c>
      <c r="Q13" s="371"/>
      <c r="R13" s="371"/>
      <c r="S13" s="371"/>
      <c r="T13" s="371"/>
      <c r="U13" s="371"/>
      <c r="V13" s="371"/>
      <c r="W13" s="371"/>
      <c r="X13" s="371"/>
      <c r="Y13" s="371"/>
      <c r="Z13" s="371">
        <v>1500</v>
      </c>
      <c r="AA13" s="371"/>
      <c r="AB13" s="371"/>
      <c r="AC13" s="371"/>
      <c r="AD13" s="371"/>
      <c r="AE13" s="371"/>
      <c r="AF13" s="371"/>
      <c r="AG13" s="371"/>
      <c r="AH13" s="371"/>
    </row>
    <row r="14" spans="1:40" s="536" customFormat="1" x14ac:dyDescent="0.3">
      <c r="A14" s="560" t="s">
        <v>489</v>
      </c>
      <c r="B14" s="561" t="s">
        <v>250</v>
      </c>
      <c r="C14" s="535">
        <v>619.04</v>
      </c>
      <c r="D14" s="535">
        <v>3000</v>
      </c>
      <c r="E14" s="535">
        <f>+E15</f>
        <v>1748.76</v>
      </c>
      <c r="F14" s="535">
        <f>+F15</f>
        <v>3000</v>
      </c>
      <c r="G14" s="548">
        <f t="shared" si="0"/>
        <v>0.58291999999999999</v>
      </c>
      <c r="H14" s="548">
        <f t="shared" si="1"/>
        <v>2.8249547686740764</v>
      </c>
      <c r="I14" s="535"/>
      <c r="J14" s="535">
        <v>3400</v>
      </c>
      <c r="K14" s="535">
        <f t="shared" si="2"/>
        <v>2000</v>
      </c>
      <c r="L14" s="535">
        <f t="shared" si="3"/>
        <v>3000</v>
      </c>
      <c r="M14" s="292">
        <f t="shared" si="4"/>
        <v>0.58823529411764708</v>
      </c>
      <c r="N14" s="292"/>
      <c r="O14" s="535">
        <f t="shared" ref="O14:X14" si="14">+O15</f>
        <v>0</v>
      </c>
      <c r="P14" s="535">
        <f t="shared" si="14"/>
        <v>0</v>
      </c>
      <c r="Q14" s="535">
        <f t="shared" si="14"/>
        <v>0</v>
      </c>
      <c r="R14" s="535">
        <f t="shared" si="14"/>
        <v>0</v>
      </c>
      <c r="S14" s="535">
        <f t="shared" si="14"/>
        <v>0</v>
      </c>
      <c r="T14" s="535">
        <f t="shared" si="14"/>
        <v>0</v>
      </c>
      <c r="U14" s="535">
        <f t="shared" si="14"/>
        <v>2000</v>
      </c>
      <c r="V14" s="535">
        <f t="shared" si="14"/>
        <v>0</v>
      </c>
      <c r="W14" s="535">
        <f t="shared" si="14"/>
        <v>0</v>
      </c>
      <c r="X14" s="535">
        <f t="shared" si="14"/>
        <v>0</v>
      </c>
      <c r="Y14" s="535">
        <f>+Y15</f>
        <v>2000</v>
      </c>
      <c r="Z14" s="535">
        <f t="shared" ref="Z14:AH14" si="15">+Z15</f>
        <v>0</v>
      </c>
      <c r="AA14" s="535">
        <f t="shared" si="15"/>
        <v>0</v>
      </c>
      <c r="AB14" s="535">
        <f t="shared" si="15"/>
        <v>0</v>
      </c>
      <c r="AC14" s="535">
        <f t="shared" si="15"/>
        <v>0</v>
      </c>
      <c r="AD14" s="535">
        <f t="shared" si="15"/>
        <v>0</v>
      </c>
      <c r="AE14" s="535">
        <f t="shared" si="15"/>
        <v>1000</v>
      </c>
      <c r="AF14" s="535">
        <f t="shared" si="15"/>
        <v>0</v>
      </c>
      <c r="AG14" s="535">
        <f t="shared" si="15"/>
        <v>0</v>
      </c>
      <c r="AH14" s="535">
        <f t="shared" si="15"/>
        <v>0</v>
      </c>
      <c r="AI14" s="532"/>
      <c r="AJ14" s="532"/>
      <c r="AK14" s="532"/>
      <c r="AL14" s="532"/>
      <c r="AM14" s="532"/>
      <c r="AN14" s="532"/>
    </row>
    <row r="15" spans="1:40" outlineLevel="1" x14ac:dyDescent="0.3">
      <c r="A15" s="543" t="s">
        <v>491</v>
      </c>
      <c r="B15" s="538" t="s">
        <v>1355</v>
      </c>
      <c r="C15" s="537">
        <v>619.04</v>
      </c>
      <c r="D15" s="537">
        <v>3000</v>
      </c>
      <c r="E15" s="537">
        <v>1748.76</v>
      </c>
      <c r="F15" s="537">
        <v>3000</v>
      </c>
      <c r="G15" s="549">
        <f t="shared" si="0"/>
        <v>0.58291999999999999</v>
      </c>
      <c r="H15" s="549">
        <f t="shared" si="1"/>
        <v>2.8249547686740764</v>
      </c>
      <c r="I15" s="537"/>
      <c r="J15" s="537">
        <v>3400</v>
      </c>
      <c r="K15" s="537">
        <f t="shared" si="2"/>
        <v>2000</v>
      </c>
      <c r="L15" s="537">
        <f t="shared" si="3"/>
        <v>3000</v>
      </c>
      <c r="M15" s="551">
        <f t="shared" si="4"/>
        <v>0.58823529411764708</v>
      </c>
      <c r="N15" s="551"/>
      <c r="O15" s="371"/>
      <c r="P15" s="371"/>
      <c r="Q15" s="371"/>
      <c r="R15" s="371"/>
      <c r="S15" s="371"/>
      <c r="T15" s="371"/>
      <c r="U15" s="371">
        <v>2000</v>
      </c>
      <c r="V15" s="371"/>
      <c r="W15" s="371"/>
      <c r="X15" s="371"/>
      <c r="Y15" s="371">
        <v>2000</v>
      </c>
      <c r="Z15" s="371"/>
      <c r="AA15" s="371"/>
      <c r="AB15" s="371"/>
      <c r="AC15" s="371"/>
      <c r="AD15" s="371"/>
      <c r="AE15" s="371">
        <v>1000</v>
      </c>
      <c r="AF15" s="371"/>
      <c r="AG15" s="371"/>
      <c r="AH15" s="371"/>
    </row>
    <row r="16" spans="1:40" s="536" customFormat="1" x14ac:dyDescent="0.3">
      <c r="A16" s="560" t="s">
        <v>492</v>
      </c>
      <c r="B16" s="561" t="s">
        <v>495</v>
      </c>
      <c r="C16" s="535">
        <v>600</v>
      </c>
      <c r="D16" s="535">
        <v>600</v>
      </c>
      <c r="E16" s="535">
        <f>+E17</f>
        <v>600</v>
      </c>
      <c r="F16" s="535">
        <f>+F17</f>
        <v>600</v>
      </c>
      <c r="G16" s="548">
        <f t="shared" si="0"/>
        <v>1</v>
      </c>
      <c r="H16" s="548">
        <f t="shared" si="1"/>
        <v>1</v>
      </c>
      <c r="I16" s="535"/>
      <c r="J16" s="535">
        <v>600</v>
      </c>
      <c r="K16" s="535">
        <f t="shared" si="2"/>
        <v>0</v>
      </c>
      <c r="L16" s="535">
        <f t="shared" si="3"/>
        <v>600</v>
      </c>
      <c r="M16" s="292">
        <f t="shared" si="4"/>
        <v>0</v>
      </c>
      <c r="N16" s="292"/>
      <c r="O16" s="535">
        <f t="shared" ref="O16:X16" si="16">+O17</f>
        <v>0</v>
      </c>
      <c r="P16" s="535">
        <f t="shared" si="16"/>
        <v>0</v>
      </c>
      <c r="Q16" s="535">
        <f t="shared" si="16"/>
        <v>0</v>
      </c>
      <c r="R16" s="535">
        <f t="shared" si="16"/>
        <v>0</v>
      </c>
      <c r="S16" s="535">
        <f t="shared" si="16"/>
        <v>0</v>
      </c>
      <c r="T16" s="535">
        <f t="shared" si="16"/>
        <v>0</v>
      </c>
      <c r="U16" s="535">
        <f t="shared" si="16"/>
        <v>0</v>
      </c>
      <c r="V16" s="535">
        <f t="shared" si="16"/>
        <v>0</v>
      </c>
      <c r="W16" s="535">
        <f t="shared" si="16"/>
        <v>0</v>
      </c>
      <c r="X16" s="535">
        <f t="shared" si="16"/>
        <v>0</v>
      </c>
      <c r="Y16" s="535">
        <f>+Y17</f>
        <v>0</v>
      </c>
      <c r="Z16" s="535">
        <f t="shared" ref="Z16:AH16" si="17">+Z17</f>
        <v>600</v>
      </c>
      <c r="AA16" s="535">
        <f t="shared" si="17"/>
        <v>0</v>
      </c>
      <c r="AB16" s="535">
        <f t="shared" si="17"/>
        <v>0</v>
      </c>
      <c r="AC16" s="535">
        <f t="shared" si="17"/>
        <v>0</v>
      </c>
      <c r="AD16" s="535">
        <f t="shared" si="17"/>
        <v>0</v>
      </c>
      <c r="AE16" s="535">
        <f t="shared" si="17"/>
        <v>0</v>
      </c>
      <c r="AF16" s="535">
        <f t="shared" si="17"/>
        <v>0</v>
      </c>
      <c r="AG16" s="535">
        <f t="shared" si="17"/>
        <v>0</v>
      </c>
      <c r="AH16" s="535">
        <f t="shared" si="17"/>
        <v>0</v>
      </c>
      <c r="AI16" s="532"/>
      <c r="AJ16" s="532"/>
      <c r="AK16" s="532"/>
      <c r="AL16" s="532"/>
      <c r="AM16" s="532"/>
      <c r="AN16" s="532"/>
    </row>
    <row r="17" spans="1:34" outlineLevel="1" x14ac:dyDescent="0.3">
      <c r="A17" s="543" t="s">
        <v>493</v>
      </c>
      <c r="B17" s="538" t="s">
        <v>495</v>
      </c>
      <c r="C17" s="537">
        <v>600</v>
      </c>
      <c r="D17" s="537">
        <v>600</v>
      </c>
      <c r="E17" s="537">
        <v>600</v>
      </c>
      <c r="F17" s="537">
        <v>600</v>
      </c>
      <c r="G17" s="549">
        <f t="shared" si="0"/>
        <v>1</v>
      </c>
      <c r="H17" s="549">
        <f t="shared" si="1"/>
        <v>1</v>
      </c>
      <c r="I17" s="537"/>
      <c r="J17" s="537">
        <v>600</v>
      </c>
      <c r="K17" s="537">
        <f t="shared" si="2"/>
        <v>0</v>
      </c>
      <c r="L17" s="537">
        <f t="shared" si="3"/>
        <v>600</v>
      </c>
      <c r="M17" s="551">
        <f t="shared" si="4"/>
        <v>0</v>
      </c>
      <c r="N17" s="551"/>
      <c r="O17" s="371"/>
      <c r="P17" s="371"/>
      <c r="Q17" s="371"/>
      <c r="R17" s="371"/>
      <c r="S17" s="371"/>
      <c r="T17" s="371"/>
      <c r="U17" s="371"/>
      <c r="V17" s="371"/>
      <c r="W17" s="371"/>
      <c r="X17" s="371"/>
      <c r="Y17" s="371"/>
      <c r="Z17" s="371">
        <v>600</v>
      </c>
      <c r="AA17" s="371"/>
      <c r="AB17" s="371"/>
      <c r="AC17" s="371"/>
      <c r="AD17" s="371"/>
      <c r="AE17" s="371"/>
      <c r="AF17" s="371"/>
      <c r="AG17" s="371"/>
      <c r="AH17" s="371"/>
    </row>
    <row r="18" spans="1:34" x14ac:dyDescent="0.3">
      <c r="Y18" s="530"/>
      <c r="Z18" s="530"/>
      <c r="AA18" s="530"/>
      <c r="AB18" s="530"/>
      <c r="AC18" s="530"/>
      <c r="AD18" s="530"/>
      <c r="AE18" s="530"/>
      <c r="AF18" s="530"/>
      <c r="AG18" s="530"/>
      <c r="AH18" s="530"/>
    </row>
    <row r="19" spans="1:34" x14ac:dyDescent="0.3">
      <c r="Y19" s="530"/>
      <c r="Z19" s="530"/>
      <c r="AA19" s="530"/>
      <c r="AB19" s="530"/>
      <c r="AC19" s="530"/>
      <c r="AD19" s="530"/>
      <c r="AE19" s="530"/>
      <c r="AF19" s="530"/>
      <c r="AG19" s="530"/>
      <c r="AH19" s="530"/>
    </row>
    <row r="20" spans="1:34" x14ac:dyDescent="0.3">
      <c r="Y20" s="530"/>
      <c r="Z20" s="530"/>
      <c r="AA20" s="530"/>
      <c r="AB20" s="530"/>
      <c r="AC20" s="530"/>
      <c r="AD20" s="530"/>
      <c r="AE20" s="530"/>
      <c r="AF20" s="530"/>
      <c r="AG20" s="530"/>
      <c r="AH20" s="530"/>
    </row>
    <row r="21" spans="1:34" x14ac:dyDescent="0.3">
      <c r="G21" s="529"/>
      <c r="H21" s="529"/>
      <c r="I21" s="544"/>
      <c r="K21" s="544"/>
      <c r="L21" s="544"/>
      <c r="M21" s="565"/>
      <c r="N21" s="565"/>
      <c r="Y21" s="530"/>
      <c r="Z21" s="530"/>
      <c r="AA21" s="530"/>
      <c r="AB21" s="530"/>
      <c r="AC21" s="530"/>
      <c r="AD21" s="530"/>
      <c r="AE21" s="530"/>
      <c r="AF21" s="530"/>
      <c r="AG21" s="530"/>
      <c r="AH21" s="530"/>
    </row>
    <row r="22" spans="1:34" x14ac:dyDescent="0.3">
      <c r="M22" s="565"/>
      <c r="N22" s="565"/>
      <c r="Y22" s="530"/>
      <c r="Z22" s="530"/>
      <c r="AA22" s="530"/>
      <c r="AB22" s="530"/>
      <c r="AC22" s="530"/>
      <c r="AD22" s="530"/>
      <c r="AE22" s="530"/>
      <c r="AF22" s="530"/>
      <c r="AG22" s="530"/>
      <c r="AH22" s="530"/>
    </row>
    <row r="23" spans="1:34" x14ac:dyDescent="0.3">
      <c r="M23" s="565"/>
      <c r="N23" s="565"/>
      <c r="Y23" s="530"/>
      <c r="Z23" s="530"/>
      <c r="AA23" s="530"/>
      <c r="AB23" s="530"/>
      <c r="AC23" s="530"/>
      <c r="AD23" s="530"/>
      <c r="AE23" s="530"/>
      <c r="AF23" s="530"/>
      <c r="AG23" s="530"/>
      <c r="AH23" s="530"/>
    </row>
    <row r="24" spans="1:34" x14ac:dyDescent="0.3">
      <c r="M24" s="565"/>
      <c r="N24" s="565"/>
      <c r="Y24" s="530"/>
      <c r="Z24" s="530"/>
      <c r="AA24" s="530"/>
      <c r="AB24" s="530"/>
      <c r="AC24" s="530"/>
      <c r="AD24" s="530"/>
      <c r="AE24" s="530"/>
      <c r="AF24" s="530"/>
      <c r="AG24" s="530"/>
      <c r="AH24" s="530"/>
    </row>
    <row r="25" spans="1:34" x14ac:dyDescent="0.3">
      <c r="M25" s="565"/>
      <c r="N25" s="565"/>
      <c r="Y25" s="530"/>
      <c r="Z25" s="530"/>
      <c r="AA25" s="530"/>
      <c r="AB25" s="530"/>
      <c r="AC25" s="530"/>
      <c r="AD25" s="530"/>
      <c r="AE25" s="530"/>
      <c r="AF25" s="530"/>
      <c r="AG25" s="530"/>
      <c r="AH25" s="530"/>
    </row>
    <row r="26" spans="1:34" x14ac:dyDescent="0.3">
      <c r="M26" s="565"/>
      <c r="N26" s="565"/>
      <c r="Y26" s="530"/>
      <c r="Z26" s="530"/>
      <c r="AA26" s="530"/>
      <c r="AB26" s="530"/>
      <c r="AC26" s="530"/>
      <c r="AD26" s="530"/>
      <c r="AE26" s="530"/>
      <c r="AF26" s="530"/>
      <c r="AG26" s="530"/>
      <c r="AH26" s="530"/>
    </row>
    <row r="27" spans="1:34" x14ac:dyDescent="0.3">
      <c r="M27" s="565"/>
      <c r="N27" s="565"/>
      <c r="Y27" s="530"/>
      <c r="Z27" s="530"/>
      <c r="AA27" s="530"/>
      <c r="AB27" s="530"/>
      <c r="AC27" s="530"/>
      <c r="AD27" s="530"/>
      <c r="AE27" s="530"/>
      <c r="AF27" s="530"/>
      <c r="AG27" s="530"/>
      <c r="AH27" s="530"/>
    </row>
    <row r="28" spans="1:34" x14ac:dyDescent="0.3">
      <c r="M28" s="565"/>
      <c r="N28" s="565"/>
      <c r="Y28" s="530"/>
      <c r="Z28" s="530"/>
      <c r="AA28" s="530"/>
      <c r="AB28" s="530"/>
      <c r="AC28" s="530"/>
      <c r="AD28" s="530"/>
      <c r="AE28" s="530"/>
      <c r="AF28" s="530"/>
      <c r="AG28" s="530"/>
      <c r="AH28" s="530"/>
    </row>
    <row r="29" spans="1:34" x14ac:dyDescent="0.3">
      <c r="M29" s="565"/>
      <c r="N29" s="565"/>
      <c r="Y29" s="530"/>
      <c r="Z29" s="530"/>
      <c r="AA29" s="530"/>
      <c r="AB29" s="530"/>
      <c r="AC29" s="530"/>
      <c r="AD29" s="530"/>
      <c r="AE29" s="530"/>
      <c r="AF29" s="530"/>
      <c r="AG29" s="530"/>
      <c r="AH29" s="530"/>
    </row>
    <row r="30" spans="1:34" x14ac:dyDescent="0.3">
      <c r="M30" s="565"/>
      <c r="N30" s="565"/>
      <c r="Y30" s="530"/>
      <c r="Z30" s="530"/>
      <c r="AA30" s="530"/>
      <c r="AB30" s="530"/>
      <c r="AC30" s="530"/>
      <c r="AD30" s="530"/>
      <c r="AE30" s="530"/>
      <c r="AF30" s="530"/>
      <c r="AG30" s="530"/>
      <c r="AH30" s="530"/>
    </row>
    <row r="31" spans="1:34" x14ac:dyDescent="0.3">
      <c r="M31" s="565"/>
      <c r="N31" s="565"/>
      <c r="Y31" s="530"/>
      <c r="Z31" s="530"/>
      <c r="AA31" s="530"/>
      <c r="AB31" s="530"/>
      <c r="AC31" s="530"/>
      <c r="AD31" s="530"/>
      <c r="AE31" s="530"/>
      <c r="AF31" s="530"/>
      <c r="AG31" s="530"/>
      <c r="AH31" s="530"/>
    </row>
    <row r="32" spans="1:34" x14ac:dyDescent="0.3">
      <c r="M32" s="565"/>
      <c r="N32" s="565"/>
      <c r="Y32" s="530"/>
      <c r="Z32" s="530"/>
      <c r="AA32" s="530"/>
      <c r="AB32" s="530"/>
      <c r="AC32" s="530"/>
      <c r="AD32" s="530"/>
      <c r="AE32" s="530"/>
      <c r="AF32" s="530"/>
      <c r="AG32" s="530"/>
      <c r="AH32" s="530"/>
    </row>
    <row r="33" spans="13:34" x14ac:dyDescent="0.3">
      <c r="M33" s="565"/>
      <c r="N33" s="565"/>
      <c r="Y33" s="530"/>
      <c r="Z33" s="530"/>
      <c r="AA33" s="530"/>
      <c r="AB33" s="530"/>
      <c r="AC33" s="530"/>
      <c r="AD33" s="530"/>
      <c r="AE33" s="530"/>
      <c r="AF33" s="530"/>
      <c r="AG33" s="530"/>
      <c r="AH33" s="530"/>
    </row>
    <row r="34" spans="13:34" x14ac:dyDescent="0.3">
      <c r="M34" s="565"/>
      <c r="N34" s="565"/>
      <c r="Y34" s="530"/>
      <c r="Z34" s="530"/>
      <c r="AA34" s="530"/>
      <c r="AB34" s="530"/>
      <c r="AC34" s="530"/>
      <c r="AD34" s="530"/>
      <c r="AE34" s="530"/>
      <c r="AF34" s="530"/>
      <c r="AG34" s="530"/>
      <c r="AH34" s="530"/>
    </row>
    <row r="35" spans="13:34" x14ac:dyDescent="0.3">
      <c r="Y35" s="530"/>
      <c r="Z35" s="530"/>
      <c r="AA35" s="530"/>
      <c r="AB35" s="530"/>
      <c r="AC35" s="530"/>
      <c r="AD35" s="530"/>
      <c r="AE35" s="530"/>
      <c r="AF35" s="530"/>
      <c r="AG35" s="530"/>
      <c r="AH35" s="530"/>
    </row>
    <row r="36" spans="13:34" x14ac:dyDescent="0.3">
      <c r="Y36" s="530"/>
      <c r="Z36" s="530"/>
      <c r="AA36" s="530"/>
      <c r="AB36" s="530"/>
      <c r="AC36" s="530"/>
      <c r="AD36" s="530"/>
      <c r="AE36" s="530"/>
      <c r="AF36" s="530"/>
      <c r="AG36" s="530"/>
      <c r="AH36" s="530"/>
    </row>
    <row r="37" spans="13:34" x14ac:dyDescent="0.3">
      <c r="Y37" s="530"/>
      <c r="Z37" s="530"/>
      <c r="AA37" s="530"/>
      <c r="AB37" s="530"/>
      <c r="AC37" s="530"/>
      <c r="AD37" s="530"/>
      <c r="AE37" s="530"/>
      <c r="AF37" s="530"/>
      <c r="AG37" s="530"/>
      <c r="AH37" s="530"/>
    </row>
    <row r="38" spans="13:34" x14ac:dyDescent="0.3">
      <c r="Y38" s="530"/>
      <c r="Z38" s="530"/>
      <c r="AA38" s="530"/>
      <c r="AB38" s="530"/>
      <c r="AC38" s="530"/>
      <c r="AD38" s="530"/>
      <c r="AE38" s="530"/>
      <c r="AF38" s="530"/>
      <c r="AG38" s="530"/>
      <c r="AH38" s="530"/>
    </row>
    <row r="39" spans="13:34" x14ac:dyDescent="0.3">
      <c r="Y39" s="530"/>
      <c r="Z39" s="530"/>
      <c r="AA39" s="530"/>
      <c r="AB39" s="530"/>
      <c r="AC39" s="530"/>
      <c r="AD39" s="530"/>
      <c r="AE39" s="530"/>
      <c r="AF39" s="530"/>
      <c r="AG39" s="530"/>
      <c r="AH39" s="530"/>
    </row>
    <row r="40" spans="13:34" x14ac:dyDescent="0.3">
      <c r="Y40" s="530"/>
      <c r="Z40" s="530"/>
      <c r="AA40" s="530"/>
      <c r="AB40" s="530"/>
      <c r="AC40" s="530"/>
      <c r="AD40" s="530"/>
      <c r="AE40" s="530"/>
      <c r="AF40" s="530"/>
      <c r="AG40" s="530"/>
      <c r="AH40" s="530"/>
    </row>
    <row r="41" spans="13:34" x14ac:dyDescent="0.3">
      <c r="Y41" s="530"/>
      <c r="Z41" s="530"/>
      <c r="AA41" s="530"/>
      <c r="AB41" s="530"/>
      <c r="AC41" s="530"/>
      <c r="AD41" s="530"/>
      <c r="AE41" s="530"/>
      <c r="AF41" s="530"/>
      <c r="AG41" s="530"/>
      <c r="AH41" s="530"/>
    </row>
    <row r="42" spans="13:34" x14ac:dyDescent="0.3">
      <c r="Y42" s="530"/>
      <c r="Z42" s="530"/>
      <c r="AA42" s="530"/>
      <c r="AB42" s="530"/>
      <c r="AC42" s="530"/>
      <c r="AD42" s="530"/>
      <c r="AE42" s="530"/>
      <c r="AF42" s="530"/>
      <c r="AG42" s="530"/>
      <c r="AH42" s="530"/>
    </row>
    <row r="43" spans="13:34" x14ac:dyDescent="0.3">
      <c r="Y43" s="530"/>
      <c r="Z43" s="530"/>
      <c r="AA43" s="530"/>
      <c r="AB43" s="530"/>
      <c r="AC43" s="530"/>
      <c r="AD43" s="530"/>
      <c r="AE43" s="530"/>
      <c r="AF43" s="530"/>
      <c r="AG43" s="530"/>
      <c r="AH43" s="530"/>
    </row>
    <row r="44" spans="13:34" x14ac:dyDescent="0.3">
      <c r="Y44" s="530"/>
      <c r="Z44" s="530"/>
      <c r="AA44" s="530"/>
      <c r="AB44" s="530"/>
      <c r="AC44" s="530"/>
      <c r="AD44" s="530"/>
      <c r="AE44" s="530"/>
      <c r="AF44" s="530"/>
      <c r="AG44" s="530"/>
      <c r="AH44" s="530"/>
    </row>
    <row r="45" spans="13:34" x14ac:dyDescent="0.3">
      <c r="Y45" s="530"/>
      <c r="Z45" s="530"/>
      <c r="AA45" s="530"/>
      <c r="AB45" s="530"/>
      <c r="AC45" s="530"/>
      <c r="AD45" s="530"/>
      <c r="AE45" s="530"/>
      <c r="AF45" s="530"/>
      <c r="AG45" s="530"/>
      <c r="AH45" s="530"/>
    </row>
    <row r="46" spans="13:34" x14ac:dyDescent="0.3">
      <c r="Y46" s="530"/>
      <c r="Z46" s="530"/>
      <c r="AA46" s="530"/>
      <c r="AB46" s="530"/>
      <c r="AC46" s="530"/>
      <c r="AD46" s="530"/>
      <c r="AE46" s="530"/>
      <c r="AF46" s="530"/>
      <c r="AG46" s="530"/>
      <c r="AH46" s="530"/>
    </row>
    <row r="47" spans="13:34" x14ac:dyDescent="0.3">
      <c r="Y47" s="530"/>
      <c r="Z47" s="530"/>
      <c r="AA47" s="530"/>
      <c r="AB47" s="530"/>
      <c r="AC47" s="530"/>
      <c r="AD47" s="530"/>
      <c r="AE47" s="530"/>
      <c r="AF47" s="530"/>
      <c r="AG47" s="530"/>
      <c r="AH47" s="530"/>
    </row>
    <row r="48" spans="13:34" x14ac:dyDescent="0.3">
      <c r="Y48" s="530"/>
      <c r="Z48" s="530"/>
      <c r="AA48" s="530"/>
      <c r="AB48" s="530"/>
      <c r="AC48" s="530"/>
      <c r="AD48" s="530"/>
      <c r="AE48" s="530"/>
      <c r="AF48" s="530"/>
      <c r="AG48" s="530"/>
      <c r="AH48" s="530"/>
    </row>
    <row r="49" spans="25:34" x14ac:dyDescent="0.3">
      <c r="Y49" s="530"/>
      <c r="Z49" s="530"/>
      <c r="AA49" s="530"/>
      <c r="AB49" s="530"/>
      <c r="AC49" s="530"/>
      <c r="AD49" s="530"/>
      <c r="AE49" s="530"/>
      <c r="AF49" s="530"/>
      <c r="AG49" s="530"/>
      <c r="AH49" s="530"/>
    </row>
    <row r="50" spans="25:34" x14ac:dyDescent="0.3">
      <c r="Y50" s="530"/>
      <c r="Z50" s="530"/>
      <c r="AA50" s="530"/>
      <c r="AB50" s="530"/>
      <c r="AC50" s="530"/>
      <c r="AD50" s="530"/>
      <c r="AE50" s="530"/>
      <c r="AF50" s="530"/>
      <c r="AG50" s="530"/>
      <c r="AH50" s="530"/>
    </row>
    <row r="51" spans="25:34" x14ac:dyDescent="0.3">
      <c r="Y51" s="530"/>
      <c r="Z51" s="530"/>
      <c r="AA51" s="530"/>
      <c r="AB51" s="530"/>
      <c r="AC51" s="530"/>
      <c r="AD51" s="530"/>
      <c r="AE51" s="530"/>
      <c r="AF51" s="530"/>
      <c r="AG51" s="530"/>
      <c r="AH51" s="530"/>
    </row>
    <row r="52" spans="25:34" x14ac:dyDescent="0.3">
      <c r="Y52" s="530"/>
      <c r="Z52" s="530"/>
      <c r="AA52" s="530"/>
      <c r="AB52" s="530"/>
      <c r="AC52" s="530"/>
      <c r="AD52" s="530"/>
      <c r="AE52" s="530"/>
      <c r="AF52" s="530"/>
      <c r="AG52" s="530"/>
      <c r="AH52" s="530"/>
    </row>
    <row r="53" spans="25:34" x14ac:dyDescent="0.3">
      <c r="Y53" s="530"/>
      <c r="Z53" s="530"/>
      <c r="AA53" s="530"/>
      <c r="AB53" s="530"/>
      <c r="AC53" s="530"/>
      <c r="AD53" s="530"/>
      <c r="AE53" s="530"/>
      <c r="AF53" s="530"/>
      <c r="AG53" s="530"/>
      <c r="AH53" s="530"/>
    </row>
    <row r="54" spans="25:34" x14ac:dyDescent="0.3">
      <c r="Y54" s="530"/>
      <c r="Z54" s="530"/>
      <c r="AA54" s="530"/>
      <c r="AB54" s="530"/>
      <c r="AC54" s="530"/>
      <c r="AD54" s="530"/>
      <c r="AE54" s="530"/>
      <c r="AF54" s="530"/>
      <c r="AG54" s="530"/>
      <c r="AH54" s="530"/>
    </row>
    <row r="55" spans="25:34" x14ac:dyDescent="0.3">
      <c r="Y55" s="530"/>
      <c r="Z55" s="530"/>
      <c r="AA55" s="530"/>
      <c r="AB55" s="530"/>
      <c r="AC55" s="530"/>
      <c r="AD55" s="530"/>
      <c r="AE55" s="530"/>
      <c r="AF55" s="530"/>
      <c r="AG55" s="530"/>
      <c r="AH55" s="530"/>
    </row>
    <row r="56" spans="25:34" x14ac:dyDescent="0.3">
      <c r="Y56" s="530"/>
      <c r="Z56" s="530"/>
      <c r="AA56" s="530"/>
      <c r="AB56" s="530"/>
      <c r="AC56" s="530"/>
      <c r="AD56" s="530"/>
      <c r="AE56" s="530"/>
      <c r="AF56" s="530"/>
      <c r="AG56" s="530"/>
      <c r="AH56" s="530"/>
    </row>
    <row r="57" spans="25:34" x14ac:dyDescent="0.3">
      <c r="Y57" s="530"/>
      <c r="Z57" s="530"/>
      <c r="AA57" s="530"/>
      <c r="AB57" s="530"/>
      <c r="AC57" s="530"/>
      <c r="AD57" s="530"/>
      <c r="AE57" s="530"/>
      <c r="AF57" s="530"/>
      <c r="AG57" s="530"/>
      <c r="AH57" s="530"/>
    </row>
    <row r="58" spans="25:34" x14ac:dyDescent="0.3">
      <c r="Y58" s="530"/>
      <c r="Z58" s="530"/>
      <c r="AA58" s="530"/>
      <c r="AB58" s="530"/>
      <c r="AC58" s="530"/>
      <c r="AD58" s="530"/>
      <c r="AE58" s="530"/>
      <c r="AF58" s="530"/>
      <c r="AG58" s="530"/>
      <c r="AH58" s="530"/>
    </row>
    <row r="59" spans="25:34" x14ac:dyDescent="0.3">
      <c r="Y59" s="530"/>
      <c r="Z59" s="530"/>
      <c r="AA59" s="530"/>
      <c r="AB59" s="530"/>
      <c r="AC59" s="530"/>
      <c r="AD59" s="530"/>
      <c r="AE59" s="530"/>
      <c r="AF59" s="530"/>
      <c r="AG59" s="530"/>
      <c r="AH59" s="530"/>
    </row>
    <row r="60" spans="25:34" x14ac:dyDescent="0.3">
      <c r="Y60" s="530"/>
      <c r="Z60" s="530"/>
      <c r="AA60" s="530"/>
      <c r="AB60" s="530"/>
      <c r="AC60" s="530"/>
      <c r="AD60" s="530"/>
      <c r="AE60" s="530"/>
      <c r="AF60" s="530"/>
      <c r="AG60" s="530"/>
      <c r="AH60" s="530"/>
    </row>
    <row r="61" spans="25:34" x14ac:dyDescent="0.3">
      <c r="Y61" s="530"/>
      <c r="Z61" s="530"/>
      <c r="AA61" s="530"/>
      <c r="AB61" s="530"/>
      <c r="AC61" s="530"/>
      <c r="AD61" s="530"/>
      <c r="AE61" s="530"/>
      <c r="AF61" s="530"/>
      <c r="AG61" s="530"/>
      <c r="AH61" s="530"/>
    </row>
    <row r="62" spans="25:34" x14ac:dyDescent="0.3">
      <c r="Y62" s="530"/>
      <c r="Z62" s="530"/>
      <c r="AA62" s="530"/>
      <c r="AB62" s="530"/>
      <c r="AC62" s="530"/>
      <c r="AD62" s="530"/>
      <c r="AE62" s="530"/>
      <c r="AF62" s="530"/>
      <c r="AG62" s="530"/>
      <c r="AH62" s="530"/>
    </row>
    <row r="63" spans="25:34" x14ac:dyDescent="0.3">
      <c r="Y63" s="530"/>
      <c r="Z63" s="530"/>
      <c r="AA63" s="530"/>
      <c r="AB63" s="530"/>
      <c r="AC63" s="530"/>
      <c r="AD63" s="530"/>
      <c r="AE63" s="530"/>
      <c r="AF63" s="530"/>
      <c r="AG63" s="530"/>
      <c r="AH63" s="530"/>
    </row>
    <row r="64" spans="25:34" x14ac:dyDescent="0.3">
      <c r="Y64" s="530"/>
      <c r="Z64" s="530"/>
      <c r="AA64" s="530"/>
      <c r="AB64" s="530"/>
      <c r="AC64" s="530"/>
      <c r="AD64" s="530"/>
      <c r="AE64" s="530"/>
      <c r="AF64" s="530"/>
      <c r="AG64" s="530"/>
      <c r="AH64" s="530"/>
    </row>
    <row r="65" spans="25:34" x14ac:dyDescent="0.3">
      <c r="Y65" s="530"/>
      <c r="Z65" s="530"/>
      <c r="AA65" s="530"/>
      <c r="AB65" s="530"/>
      <c r="AC65" s="530"/>
      <c r="AD65" s="530"/>
      <c r="AE65" s="530"/>
      <c r="AF65" s="530"/>
      <c r="AG65" s="530"/>
      <c r="AH65" s="530"/>
    </row>
    <row r="66" spans="25:34" x14ac:dyDescent="0.3">
      <c r="Y66" s="530"/>
      <c r="Z66" s="530"/>
      <c r="AA66" s="530"/>
      <c r="AB66" s="530"/>
      <c r="AC66" s="530"/>
      <c r="AD66" s="530"/>
      <c r="AE66" s="530"/>
      <c r="AF66" s="530"/>
      <c r="AG66" s="530"/>
      <c r="AH66" s="530"/>
    </row>
    <row r="67" spans="25:34" x14ac:dyDescent="0.3">
      <c r="Y67" s="530"/>
      <c r="Z67" s="530"/>
      <c r="AA67" s="530"/>
      <c r="AB67" s="530"/>
      <c r="AC67" s="530"/>
      <c r="AD67" s="530"/>
      <c r="AE67" s="530"/>
      <c r="AF67" s="530"/>
      <c r="AG67" s="530"/>
      <c r="AH67" s="530"/>
    </row>
    <row r="68" spans="25:34" x14ac:dyDescent="0.3">
      <c r="Y68" s="530"/>
      <c r="Z68" s="530"/>
      <c r="AA68" s="530"/>
      <c r="AB68" s="530"/>
      <c r="AC68" s="530"/>
      <c r="AD68" s="530"/>
      <c r="AE68" s="530"/>
      <c r="AF68" s="530"/>
      <c r="AG68" s="530"/>
      <c r="AH68" s="530"/>
    </row>
    <row r="69" spans="25:34" x14ac:dyDescent="0.3">
      <c r="Y69" s="530"/>
      <c r="Z69" s="530"/>
      <c r="AA69" s="530"/>
      <c r="AB69" s="530"/>
      <c r="AC69" s="530"/>
      <c r="AD69" s="530"/>
      <c r="AE69" s="530"/>
      <c r="AF69" s="530"/>
      <c r="AG69" s="530"/>
      <c r="AH69" s="530"/>
    </row>
    <row r="70" spans="25:34" x14ac:dyDescent="0.3">
      <c r="Y70" s="530"/>
      <c r="Z70" s="530"/>
      <c r="AA70" s="530"/>
      <c r="AB70" s="530"/>
      <c r="AC70" s="530"/>
      <c r="AD70" s="530"/>
      <c r="AE70" s="530"/>
      <c r="AF70" s="530"/>
      <c r="AG70" s="530"/>
      <c r="AH70" s="530"/>
    </row>
    <row r="71" spans="25:34" x14ac:dyDescent="0.3">
      <c r="Y71" s="530"/>
      <c r="Z71" s="530"/>
      <c r="AA71" s="530"/>
      <c r="AB71" s="530"/>
      <c r="AC71" s="530"/>
      <c r="AD71" s="530"/>
      <c r="AE71" s="530"/>
      <c r="AF71" s="530"/>
      <c r="AG71" s="530"/>
      <c r="AH71" s="530"/>
    </row>
    <row r="72" spans="25:34" x14ac:dyDescent="0.3">
      <c r="Y72" s="530"/>
      <c r="Z72" s="530"/>
      <c r="AA72" s="530"/>
      <c r="AB72" s="530"/>
      <c r="AC72" s="530"/>
      <c r="AD72" s="530"/>
      <c r="AE72" s="530"/>
      <c r="AF72" s="530"/>
      <c r="AG72" s="530"/>
      <c r="AH72" s="530"/>
    </row>
    <row r="73" spans="25:34" x14ac:dyDescent="0.3">
      <c r="Y73" s="530"/>
      <c r="Z73" s="530"/>
      <c r="AA73" s="530"/>
      <c r="AB73" s="530"/>
      <c r="AC73" s="530"/>
      <c r="AD73" s="530"/>
      <c r="AE73" s="530"/>
      <c r="AF73" s="530"/>
      <c r="AG73" s="530"/>
      <c r="AH73" s="530"/>
    </row>
    <row r="74" spans="25:34" x14ac:dyDescent="0.3">
      <c r="Y74" s="530"/>
      <c r="Z74" s="530"/>
      <c r="AA74" s="530"/>
      <c r="AB74" s="530"/>
      <c r="AC74" s="530"/>
      <c r="AD74" s="530"/>
      <c r="AE74" s="530"/>
      <c r="AF74" s="530"/>
      <c r="AG74" s="530"/>
      <c r="AH74" s="530"/>
    </row>
    <row r="75" spans="25:34" x14ac:dyDescent="0.3">
      <c r="Y75" s="530"/>
      <c r="Z75" s="530"/>
      <c r="AA75" s="530"/>
      <c r="AB75" s="530"/>
      <c r="AC75" s="530"/>
      <c r="AD75" s="530"/>
      <c r="AE75" s="530"/>
      <c r="AF75" s="530"/>
      <c r="AG75" s="530"/>
      <c r="AH75" s="530"/>
    </row>
    <row r="76" spans="25:34" x14ac:dyDescent="0.3">
      <c r="Y76" s="530"/>
      <c r="Z76" s="530"/>
      <c r="AA76" s="530"/>
      <c r="AB76" s="530"/>
      <c r="AC76" s="530"/>
      <c r="AD76" s="530"/>
      <c r="AE76" s="530"/>
      <c r="AF76" s="530"/>
      <c r="AG76" s="530"/>
      <c r="AH76" s="530"/>
    </row>
    <row r="77" spans="25:34" x14ac:dyDescent="0.3">
      <c r="Y77" s="530"/>
      <c r="Z77" s="530"/>
      <c r="AA77" s="530"/>
      <c r="AB77" s="530"/>
      <c r="AC77" s="530"/>
      <c r="AD77" s="530"/>
      <c r="AE77" s="530"/>
      <c r="AF77" s="530"/>
      <c r="AG77" s="530"/>
      <c r="AH77" s="530"/>
    </row>
    <row r="78" spans="25:34" x14ac:dyDescent="0.3">
      <c r="Y78" s="530"/>
      <c r="Z78" s="530"/>
      <c r="AA78" s="530"/>
      <c r="AB78" s="530"/>
      <c r="AC78" s="530"/>
      <c r="AD78" s="530"/>
      <c r="AE78" s="530"/>
      <c r="AF78" s="530"/>
      <c r="AG78" s="530"/>
      <c r="AH78" s="530"/>
    </row>
    <row r="79" spans="25:34" x14ac:dyDescent="0.3">
      <c r="Y79" s="530"/>
      <c r="Z79" s="530"/>
      <c r="AA79" s="530"/>
      <c r="AB79" s="530"/>
      <c r="AC79" s="530"/>
      <c r="AD79" s="530"/>
      <c r="AE79" s="530"/>
      <c r="AF79" s="530"/>
      <c r="AG79" s="530"/>
      <c r="AH79" s="530"/>
    </row>
    <row r="80" spans="25:34" x14ac:dyDescent="0.3">
      <c r="Y80" s="530"/>
      <c r="Z80" s="530"/>
      <c r="AA80" s="530"/>
      <c r="AB80" s="530"/>
      <c r="AC80" s="530"/>
      <c r="AD80" s="530"/>
      <c r="AE80" s="530"/>
      <c r="AF80" s="530"/>
      <c r="AG80" s="530"/>
      <c r="AH80" s="530"/>
    </row>
    <row r="81" spans="25:34" x14ac:dyDescent="0.3">
      <c r="Y81" s="530"/>
      <c r="Z81" s="530"/>
      <c r="AA81" s="530"/>
      <c r="AB81" s="530"/>
      <c r="AC81" s="530"/>
      <c r="AD81" s="530"/>
      <c r="AE81" s="530"/>
      <c r="AF81" s="530"/>
      <c r="AG81" s="530"/>
      <c r="AH81" s="530"/>
    </row>
    <row r="82" spans="25:34" x14ac:dyDescent="0.3">
      <c r="Y82" s="530"/>
      <c r="Z82" s="530"/>
      <c r="AA82" s="530"/>
      <c r="AB82" s="530"/>
      <c r="AC82" s="530"/>
      <c r="AD82" s="530"/>
      <c r="AE82" s="530"/>
      <c r="AF82" s="530"/>
      <c r="AG82" s="530"/>
      <c r="AH82" s="530"/>
    </row>
    <row r="83" spans="25:34" x14ac:dyDescent="0.3">
      <c r="Y83" s="530"/>
      <c r="Z83" s="530"/>
      <c r="AA83" s="530"/>
      <c r="AB83" s="530"/>
      <c r="AC83" s="530"/>
      <c r="AD83" s="530"/>
      <c r="AE83" s="530"/>
      <c r="AF83" s="530"/>
      <c r="AG83" s="530"/>
      <c r="AH83" s="530"/>
    </row>
    <row r="84" spans="25:34" x14ac:dyDescent="0.3">
      <c r="Y84" s="530"/>
      <c r="Z84" s="530"/>
      <c r="AA84" s="530"/>
      <c r="AB84" s="530"/>
      <c r="AC84" s="530"/>
      <c r="AD84" s="530"/>
      <c r="AE84" s="530"/>
      <c r="AF84" s="530"/>
      <c r="AG84" s="530"/>
      <c r="AH84" s="530"/>
    </row>
    <row r="85" spans="25:34" x14ac:dyDescent="0.3">
      <c r="Y85" s="530"/>
      <c r="Z85" s="530"/>
      <c r="AA85" s="530"/>
      <c r="AB85" s="530"/>
      <c r="AC85" s="530"/>
      <c r="AD85" s="530"/>
      <c r="AE85" s="530"/>
      <c r="AF85" s="530"/>
      <c r="AG85" s="530"/>
      <c r="AH85" s="530"/>
    </row>
    <row r="86" spans="25:34" x14ac:dyDescent="0.3">
      <c r="Y86" s="530"/>
      <c r="Z86" s="530"/>
      <c r="AA86" s="530"/>
      <c r="AB86" s="530"/>
      <c r="AC86" s="530"/>
      <c r="AD86" s="530"/>
      <c r="AE86" s="530"/>
      <c r="AF86" s="530"/>
      <c r="AG86" s="530"/>
      <c r="AH86" s="530"/>
    </row>
    <row r="87" spans="25:34" x14ac:dyDescent="0.3">
      <c r="Y87" s="530"/>
      <c r="Z87" s="530"/>
      <c r="AA87" s="530"/>
      <c r="AB87" s="530"/>
      <c r="AC87" s="530"/>
      <c r="AD87" s="530"/>
      <c r="AE87" s="530"/>
      <c r="AF87" s="530"/>
      <c r="AG87" s="530"/>
      <c r="AH87" s="530"/>
    </row>
    <row r="88" spans="25:34" x14ac:dyDescent="0.3">
      <c r="Y88" s="530"/>
      <c r="Z88" s="530"/>
      <c r="AA88" s="530"/>
      <c r="AB88" s="530"/>
      <c r="AC88" s="530"/>
      <c r="AD88" s="530"/>
      <c r="AE88" s="530"/>
      <c r="AF88" s="530"/>
      <c r="AG88" s="530"/>
      <c r="AH88" s="530"/>
    </row>
    <row r="89" spans="25:34" x14ac:dyDescent="0.3">
      <c r="Y89" s="530"/>
      <c r="Z89" s="530"/>
      <c r="AA89" s="530"/>
      <c r="AB89" s="530"/>
      <c r="AC89" s="530"/>
      <c r="AD89" s="530"/>
      <c r="AE89" s="530"/>
      <c r="AF89" s="530"/>
      <c r="AG89" s="530"/>
      <c r="AH89" s="530"/>
    </row>
    <row r="90" spans="25:34" x14ac:dyDescent="0.3">
      <c r="Y90" s="530"/>
      <c r="Z90" s="530"/>
      <c r="AA90" s="530"/>
      <c r="AB90" s="530"/>
      <c r="AC90" s="530"/>
      <c r="AD90" s="530"/>
      <c r="AE90" s="530"/>
      <c r="AF90" s="530"/>
      <c r="AG90" s="530"/>
      <c r="AH90" s="530"/>
    </row>
    <row r="91" spans="25:34" x14ac:dyDescent="0.3">
      <c r="Y91" s="530"/>
      <c r="Z91" s="530"/>
      <c r="AA91" s="530"/>
      <c r="AB91" s="530"/>
      <c r="AC91" s="530"/>
      <c r="AD91" s="530"/>
      <c r="AE91" s="530"/>
      <c r="AF91" s="530"/>
      <c r="AG91" s="530"/>
      <c r="AH91" s="530"/>
    </row>
    <row r="92" spans="25:34" x14ac:dyDescent="0.3">
      <c r="Y92" s="530"/>
      <c r="Z92" s="530"/>
      <c r="AA92" s="530"/>
      <c r="AB92" s="530"/>
      <c r="AC92" s="530"/>
      <c r="AD92" s="530"/>
      <c r="AE92" s="530"/>
      <c r="AF92" s="530"/>
      <c r="AG92" s="530"/>
      <c r="AH92" s="530"/>
    </row>
    <row r="93" spans="25:34" x14ac:dyDescent="0.3">
      <c r="Y93" s="530"/>
      <c r="Z93" s="530"/>
      <c r="AA93" s="530"/>
      <c r="AB93" s="530"/>
      <c r="AC93" s="530"/>
      <c r="AD93" s="530"/>
      <c r="AE93" s="530"/>
      <c r="AF93" s="530"/>
      <c r="AG93" s="530"/>
      <c r="AH93" s="530"/>
    </row>
    <row r="94" spans="25:34" x14ac:dyDescent="0.3">
      <c r="Y94" s="530"/>
      <c r="Z94" s="530"/>
      <c r="AA94" s="530"/>
      <c r="AB94" s="530"/>
      <c r="AC94" s="530"/>
      <c r="AD94" s="530"/>
      <c r="AE94" s="530"/>
      <c r="AF94" s="530"/>
      <c r="AG94" s="530"/>
      <c r="AH94" s="530"/>
    </row>
    <row r="95" spans="25:34" x14ac:dyDescent="0.3">
      <c r="Y95" s="530"/>
      <c r="Z95" s="530"/>
      <c r="AA95" s="530"/>
      <c r="AB95" s="530"/>
      <c r="AC95" s="530"/>
      <c r="AD95" s="530"/>
      <c r="AE95" s="530"/>
      <c r="AF95" s="530"/>
      <c r="AG95" s="530"/>
      <c r="AH95" s="530"/>
    </row>
    <row r="96" spans="25:34" x14ac:dyDescent="0.3">
      <c r="Y96" s="530"/>
      <c r="Z96" s="530"/>
      <c r="AA96" s="530"/>
      <c r="AB96" s="530"/>
      <c r="AC96" s="530"/>
      <c r="AD96" s="530"/>
      <c r="AE96" s="530"/>
      <c r="AF96" s="530"/>
      <c r="AG96" s="530"/>
      <c r="AH96" s="530"/>
    </row>
    <row r="97" spans="25:34" x14ac:dyDescent="0.3">
      <c r="Y97" s="530"/>
      <c r="Z97" s="530"/>
      <c r="AA97" s="530"/>
      <c r="AB97" s="530"/>
      <c r="AC97" s="530"/>
      <c r="AD97" s="530"/>
      <c r="AE97" s="530"/>
      <c r="AF97" s="530"/>
      <c r="AG97" s="530"/>
      <c r="AH97" s="530"/>
    </row>
    <row r="98" spans="25:34" x14ac:dyDescent="0.3">
      <c r="Y98" s="530"/>
      <c r="Z98" s="530"/>
      <c r="AA98" s="530"/>
      <c r="AB98" s="530"/>
      <c r="AC98" s="530"/>
      <c r="AD98" s="530"/>
      <c r="AE98" s="530"/>
      <c r="AF98" s="530"/>
      <c r="AG98" s="530"/>
      <c r="AH98" s="530"/>
    </row>
    <row r="99" spans="25:34" x14ac:dyDescent="0.3">
      <c r="Y99" s="530"/>
      <c r="Z99" s="530"/>
      <c r="AA99" s="530"/>
      <c r="AB99" s="530"/>
      <c r="AC99" s="530"/>
      <c r="AD99" s="530"/>
      <c r="AE99" s="530"/>
      <c r="AF99" s="530"/>
      <c r="AG99" s="530"/>
      <c r="AH99" s="530"/>
    </row>
    <row r="100" spans="25:34" x14ac:dyDescent="0.3">
      <c r="Y100" s="530"/>
      <c r="Z100" s="530"/>
      <c r="AA100" s="530"/>
      <c r="AB100" s="530"/>
      <c r="AC100" s="530"/>
      <c r="AD100" s="530"/>
      <c r="AE100" s="530"/>
      <c r="AF100" s="530"/>
      <c r="AG100" s="530"/>
      <c r="AH100" s="530"/>
    </row>
    <row r="101" spans="25:34" x14ac:dyDescent="0.3">
      <c r="Y101" s="530"/>
      <c r="Z101" s="530"/>
      <c r="AA101" s="530"/>
      <c r="AB101" s="530"/>
      <c r="AC101" s="530"/>
      <c r="AD101" s="530"/>
      <c r="AE101" s="530"/>
      <c r="AF101" s="530"/>
      <c r="AG101" s="530"/>
      <c r="AH101" s="530"/>
    </row>
    <row r="102" spans="25:34" x14ac:dyDescent="0.3">
      <c r="Y102" s="530"/>
      <c r="Z102" s="530"/>
      <c r="AA102" s="530"/>
      <c r="AB102" s="530"/>
      <c r="AC102" s="530"/>
      <c r="AD102" s="530"/>
      <c r="AE102" s="530"/>
      <c r="AF102" s="530"/>
      <c r="AG102" s="530"/>
      <c r="AH102" s="530"/>
    </row>
    <row r="103" spans="25:34" x14ac:dyDescent="0.3">
      <c r="Y103" s="530"/>
      <c r="Z103" s="530"/>
      <c r="AA103" s="530"/>
      <c r="AB103" s="530"/>
      <c r="AC103" s="530"/>
      <c r="AD103" s="530"/>
      <c r="AE103" s="530"/>
      <c r="AF103" s="530"/>
      <c r="AG103" s="530"/>
      <c r="AH103" s="530"/>
    </row>
    <row r="104" spans="25:34" x14ac:dyDescent="0.3">
      <c r="Y104" s="530"/>
      <c r="Z104" s="530"/>
      <c r="AA104" s="530"/>
      <c r="AB104" s="530"/>
      <c r="AC104" s="530"/>
      <c r="AD104" s="530"/>
      <c r="AE104" s="530"/>
      <c r="AF104" s="530"/>
      <c r="AG104" s="530"/>
      <c r="AH104" s="530"/>
    </row>
    <row r="105" spans="25:34" x14ac:dyDescent="0.3">
      <c r="Y105" s="530"/>
      <c r="Z105" s="530"/>
      <c r="AA105" s="530"/>
      <c r="AB105" s="530"/>
      <c r="AC105" s="530"/>
      <c r="AD105" s="530"/>
      <c r="AE105" s="530"/>
      <c r="AF105" s="530"/>
      <c r="AG105" s="530"/>
      <c r="AH105" s="530"/>
    </row>
    <row r="106" spans="25:34" x14ac:dyDescent="0.3">
      <c r="Y106" s="530"/>
      <c r="Z106" s="530"/>
      <c r="AA106" s="530"/>
      <c r="AB106" s="530"/>
      <c r="AC106" s="530"/>
      <c r="AD106" s="530"/>
      <c r="AE106" s="530"/>
      <c r="AF106" s="530"/>
      <c r="AG106" s="530"/>
      <c r="AH106" s="530"/>
    </row>
    <row r="107" spans="25:34" x14ac:dyDescent="0.3">
      <c r="Y107" s="530"/>
      <c r="Z107" s="530"/>
      <c r="AA107" s="530"/>
      <c r="AB107" s="530"/>
      <c r="AC107" s="530"/>
      <c r="AD107" s="530"/>
      <c r="AE107" s="530"/>
      <c r="AF107" s="530"/>
      <c r="AG107" s="530"/>
      <c r="AH107" s="530"/>
    </row>
    <row r="108" spans="25:34" x14ac:dyDescent="0.3">
      <c r="Y108" s="530"/>
      <c r="Z108" s="530"/>
      <c r="AA108" s="530"/>
      <c r="AB108" s="530"/>
      <c r="AC108" s="530"/>
      <c r="AD108" s="530"/>
      <c r="AE108" s="530"/>
      <c r="AF108" s="530"/>
      <c r="AG108" s="530"/>
      <c r="AH108" s="530"/>
    </row>
    <row r="109" spans="25:34" x14ac:dyDescent="0.3">
      <c r="Y109" s="530"/>
      <c r="Z109" s="530"/>
      <c r="AA109" s="530"/>
      <c r="AB109" s="530"/>
      <c r="AC109" s="530"/>
      <c r="AD109" s="530"/>
      <c r="AE109" s="530"/>
      <c r="AF109" s="530"/>
      <c r="AG109" s="530"/>
      <c r="AH109" s="530"/>
    </row>
    <row r="110" spans="25:34" x14ac:dyDescent="0.3">
      <c r="Y110" s="530"/>
      <c r="Z110" s="530"/>
      <c r="AA110" s="530"/>
      <c r="AB110" s="530"/>
      <c r="AC110" s="530"/>
      <c r="AD110" s="530"/>
      <c r="AE110" s="530"/>
      <c r="AF110" s="530"/>
      <c r="AG110" s="530"/>
      <c r="AH110" s="530"/>
    </row>
    <row r="111" spans="25:34" x14ac:dyDescent="0.3">
      <c r="Y111" s="530"/>
      <c r="Z111" s="530"/>
      <c r="AA111" s="530"/>
      <c r="AB111" s="530"/>
      <c r="AC111" s="530"/>
      <c r="AD111" s="530"/>
      <c r="AE111" s="530"/>
      <c r="AF111" s="530"/>
      <c r="AG111" s="530"/>
      <c r="AH111" s="530"/>
    </row>
    <row r="112" spans="25:34" x14ac:dyDescent="0.3">
      <c r="Y112" s="530"/>
      <c r="Z112" s="530"/>
      <c r="AA112" s="530"/>
      <c r="AB112" s="530"/>
      <c r="AC112" s="530"/>
      <c r="AD112" s="530"/>
      <c r="AE112" s="530"/>
      <c r="AF112" s="530"/>
      <c r="AG112" s="530"/>
      <c r="AH112" s="530"/>
    </row>
    <row r="113" spans="25:34" x14ac:dyDescent="0.3">
      <c r="Y113" s="530"/>
      <c r="Z113" s="530"/>
      <c r="AA113" s="530"/>
      <c r="AB113" s="530"/>
      <c r="AC113" s="530"/>
      <c r="AD113" s="530"/>
      <c r="AE113" s="530"/>
      <c r="AF113" s="530"/>
      <c r="AG113" s="530"/>
      <c r="AH113" s="530"/>
    </row>
    <row r="114" spans="25:34" x14ac:dyDescent="0.3">
      <c r="Y114" s="530"/>
      <c r="Z114" s="530"/>
      <c r="AA114" s="530"/>
      <c r="AB114" s="530"/>
      <c r="AC114" s="530"/>
      <c r="AD114" s="530"/>
      <c r="AE114" s="530"/>
      <c r="AF114" s="530"/>
      <c r="AG114" s="530"/>
      <c r="AH114" s="530"/>
    </row>
    <row r="115" spans="25:34" x14ac:dyDescent="0.3">
      <c r="Y115" s="530"/>
      <c r="Z115" s="530"/>
      <c r="AA115" s="530"/>
      <c r="AB115" s="530"/>
      <c r="AC115" s="530"/>
      <c r="AD115" s="530"/>
      <c r="AE115" s="530"/>
      <c r="AF115" s="530"/>
      <c r="AG115" s="530"/>
      <c r="AH115" s="530"/>
    </row>
    <row r="116" spans="25:34" x14ac:dyDescent="0.3">
      <c r="Y116" s="530"/>
      <c r="Z116" s="530"/>
      <c r="AA116" s="530"/>
      <c r="AB116" s="530"/>
      <c r="AC116" s="530"/>
      <c r="AD116" s="530"/>
      <c r="AE116" s="530"/>
      <c r="AF116" s="530"/>
      <c r="AG116" s="530"/>
      <c r="AH116" s="530"/>
    </row>
    <row r="117" spans="25:34" x14ac:dyDescent="0.3">
      <c r="Y117" s="530"/>
      <c r="Z117" s="530"/>
      <c r="AA117" s="530"/>
      <c r="AB117" s="530"/>
      <c r="AC117" s="530"/>
      <c r="AD117" s="530"/>
      <c r="AE117" s="530"/>
      <c r="AF117" s="530"/>
      <c r="AG117" s="530"/>
      <c r="AH117" s="530"/>
    </row>
    <row r="118" spans="25:34" x14ac:dyDescent="0.3">
      <c r="Y118" s="530"/>
      <c r="Z118" s="530"/>
      <c r="AA118" s="530"/>
      <c r="AB118" s="530"/>
      <c r="AC118" s="530"/>
      <c r="AD118" s="530"/>
      <c r="AE118" s="530"/>
      <c r="AF118" s="530"/>
      <c r="AG118" s="530"/>
      <c r="AH118" s="530"/>
    </row>
    <row r="119" spans="25:34" x14ac:dyDescent="0.3">
      <c r="Y119" s="530"/>
      <c r="Z119" s="530"/>
      <c r="AA119" s="530"/>
      <c r="AB119" s="530"/>
      <c r="AC119" s="530"/>
      <c r="AD119" s="530"/>
      <c r="AE119" s="530"/>
      <c r="AF119" s="530"/>
      <c r="AG119" s="530"/>
      <c r="AH119" s="530"/>
    </row>
    <row r="120" spans="25:34" x14ac:dyDescent="0.3">
      <c r="Y120" s="530"/>
      <c r="Z120" s="530"/>
      <c r="AA120" s="530"/>
      <c r="AB120" s="530"/>
      <c r="AC120" s="530"/>
      <c r="AD120" s="530"/>
      <c r="AE120" s="530"/>
      <c r="AF120" s="530"/>
      <c r="AG120" s="530"/>
      <c r="AH120" s="530"/>
    </row>
    <row r="121" spans="25:34" x14ac:dyDescent="0.3">
      <c r="Y121" s="530"/>
      <c r="Z121" s="530"/>
      <c r="AA121" s="530"/>
      <c r="AB121" s="530"/>
      <c r="AC121" s="530"/>
      <c r="AD121" s="530"/>
      <c r="AE121" s="530"/>
      <c r="AF121" s="530"/>
      <c r="AG121" s="530"/>
      <c r="AH121" s="530"/>
    </row>
    <row r="122" spans="25:34" x14ac:dyDescent="0.3">
      <c r="Y122" s="530"/>
      <c r="Z122" s="530"/>
      <c r="AA122" s="530"/>
      <c r="AB122" s="530"/>
      <c r="AC122" s="530"/>
      <c r="AD122" s="530"/>
      <c r="AE122" s="530"/>
      <c r="AF122" s="530"/>
      <c r="AG122" s="530"/>
      <c r="AH122" s="530"/>
    </row>
    <row r="123" spans="25:34" x14ac:dyDescent="0.3">
      <c r="Y123" s="530"/>
      <c r="Z123" s="530"/>
      <c r="AA123" s="530"/>
      <c r="AB123" s="530"/>
      <c r="AC123" s="530"/>
      <c r="AD123" s="530"/>
      <c r="AE123" s="530"/>
      <c r="AF123" s="530"/>
      <c r="AG123" s="530"/>
      <c r="AH123" s="530"/>
    </row>
    <row r="124" spans="25:34" x14ac:dyDescent="0.3">
      <c r="Y124" s="530"/>
      <c r="Z124" s="530"/>
      <c r="AA124" s="530"/>
      <c r="AB124" s="530"/>
      <c r="AC124" s="530"/>
      <c r="AD124" s="530"/>
      <c r="AE124" s="530"/>
      <c r="AF124" s="530"/>
      <c r="AG124" s="530"/>
      <c r="AH124" s="530"/>
    </row>
    <row r="125" spans="25:34" x14ac:dyDescent="0.3">
      <c r="Y125" s="530"/>
      <c r="Z125" s="530"/>
      <c r="AA125" s="530"/>
      <c r="AB125" s="530"/>
      <c r="AC125" s="530"/>
      <c r="AD125" s="530"/>
      <c r="AE125" s="530"/>
      <c r="AF125" s="530"/>
      <c r="AG125" s="530"/>
      <c r="AH125" s="530"/>
    </row>
    <row r="126" spans="25:34" x14ac:dyDescent="0.3">
      <c r="Y126" s="530"/>
      <c r="Z126" s="530"/>
      <c r="AA126" s="530"/>
      <c r="AB126" s="530"/>
      <c r="AC126" s="530"/>
      <c r="AD126" s="530"/>
      <c r="AE126" s="530"/>
      <c r="AF126" s="530"/>
      <c r="AG126" s="530"/>
      <c r="AH126" s="530"/>
    </row>
    <row r="127" spans="25:34" x14ac:dyDescent="0.3">
      <c r="Y127" s="530"/>
      <c r="Z127" s="530"/>
      <c r="AA127" s="530"/>
      <c r="AB127" s="530"/>
      <c r="AC127" s="530"/>
      <c r="AD127" s="530"/>
      <c r="AE127" s="530"/>
      <c r="AF127" s="530"/>
      <c r="AG127" s="530"/>
      <c r="AH127" s="530"/>
    </row>
    <row r="128" spans="25:34" x14ac:dyDescent="0.3">
      <c r="Y128" s="530"/>
      <c r="Z128" s="530"/>
      <c r="AA128" s="530"/>
      <c r="AB128" s="530"/>
      <c r="AC128" s="530"/>
      <c r="AD128" s="530"/>
      <c r="AE128" s="530"/>
      <c r="AF128" s="530"/>
      <c r="AG128" s="530"/>
      <c r="AH128" s="530"/>
    </row>
    <row r="129" spans="25:34" x14ac:dyDescent="0.3">
      <c r="Y129" s="530"/>
      <c r="Z129" s="530"/>
      <c r="AA129" s="530"/>
      <c r="AB129" s="530"/>
      <c r="AC129" s="530"/>
      <c r="AD129" s="530"/>
      <c r="AE129" s="530"/>
      <c r="AF129" s="530"/>
      <c r="AG129" s="530"/>
      <c r="AH129" s="530"/>
    </row>
    <row r="130" spans="25:34" x14ac:dyDescent="0.3">
      <c r="Y130" s="530"/>
      <c r="Z130" s="530"/>
      <c r="AA130" s="530"/>
      <c r="AB130" s="530"/>
      <c r="AC130" s="530"/>
      <c r="AD130" s="530"/>
      <c r="AE130" s="530"/>
      <c r="AF130" s="530"/>
      <c r="AG130" s="530"/>
      <c r="AH130" s="530"/>
    </row>
    <row r="131" spans="25:34" x14ac:dyDescent="0.3">
      <c r="Y131" s="530"/>
      <c r="Z131" s="530"/>
      <c r="AA131" s="530"/>
      <c r="AB131" s="530"/>
      <c r="AC131" s="530"/>
      <c r="AD131" s="530"/>
      <c r="AE131" s="530"/>
      <c r="AF131" s="530"/>
      <c r="AG131" s="530"/>
      <c r="AH131" s="530"/>
    </row>
    <row r="132" spans="25:34" x14ac:dyDescent="0.3">
      <c r="Y132" s="530"/>
      <c r="Z132" s="530"/>
      <c r="AA132" s="530"/>
      <c r="AB132" s="530"/>
      <c r="AC132" s="530"/>
      <c r="AD132" s="530"/>
      <c r="AE132" s="530"/>
      <c r="AF132" s="530"/>
      <c r="AG132" s="530"/>
      <c r="AH132" s="530"/>
    </row>
    <row r="133" spans="25:34" x14ac:dyDescent="0.3">
      <c r="Y133" s="530"/>
      <c r="Z133" s="530"/>
      <c r="AA133" s="530"/>
      <c r="AB133" s="530"/>
      <c r="AC133" s="530"/>
      <c r="AD133" s="530"/>
      <c r="AE133" s="530"/>
      <c r="AF133" s="530"/>
      <c r="AG133" s="530"/>
      <c r="AH133" s="530"/>
    </row>
    <row r="134" spans="25:34" x14ac:dyDescent="0.3">
      <c r="Y134" s="530"/>
      <c r="Z134" s="530"/>
      <c r="AA134" s="530"/>
      <c r="AB134" s="530"/>
      <c r="AC134" s="530"/>
      <c r="AD134" s="530"/>
      <c r="AE134" s="530"/>
      <c r="AF134" s="530"/>
      <c r="AG134" s="530"/>
      <c r="AH134" s="530"/>
    </row>
    <row r="135" spans="25:34" x14ac:dyDescent="0.3">
      <c r="Y135" s="530"/>
      <c r="Z135" s="530"/>
      <c r="AA135" s="530"/>
      <c r="AB135" s="530"/>
      <c r="AC135" s="530"/>
      <c r="AD135" s="530"/>
      <c r="AE135" s="530"/>
      <c r="AF135" s="530"/>
      <c r="AG135" s="530"/>
      <c r="AH135" s="530"/>
    </row>
    <row r="136" spans="25:34" x14ac:dyDescent="0.3">
      <c r="Y136" s="530"/>
      <c r="Z136" s="530"/>
      <c r="AA136" s="530"/>
      <c r="AB136" s="530"/>
      <c r="AC136" s="530"/>
      <c r="AD136" s="530"/>
      <c r="AE136" s="530"/>
      <c r="AF136" s="530"/>
      <c r="AG136" s="530"/>
      <c r="AH136" s="530"/>
    </row>
    <row r="137" spans="25:34" x14ac:dyDescent="0.3">
      <c r="Y137" s="530"/>
      <c r="Z137" s="530"/>
      <c r="AA137" s="530"/>
      <c r="AB137" s="530"/>
      <c r="AC137" s="530"/>
      <c r="AD137" s="530"/>
      <c r="AE137" s="530"/>
      <c r="AF137" s="530"/>
      <c r="AG137" s="530"/>
      <c r="AH137" s="530"/>
    </row>
    <row r="138" spans="25:34" x14ac:dyDescent="0.3">
      <c r="Y138" s="530"/>
      <c r="Z138" s="530"/>
      <c r="AA138" s="530"/>
      <c r="AB138" s="530"/>
      <c r="AC138" s="530"/>
      <c r="AD138" s="530"/>
      <c r="AE138" s="530"/>
      <c r="AF138" s="530"/>
      <c r="AG138" s="530"/>
      <c r="AH138" s="530"/>
    </row>
    <row r="139" spans="25:34" x14ac:dyDescent="0.3">
      <c r="Y139" s="530"/>
      <c r="Z139" s="530"/>
      <c r="AA139" s="530"/>
      <c r="AB139" s="530"/>
      <c r="AC139" s="530"/>
      <c r="AD139" s="530"/>
      <c r="AE139" s="530"/>
      <c r="AF139" s="530"/>
      <c r="AG139" s="530"/>
      <c r="AH139" s="530"/>
    </row>
    <row r="140" spans="25:34" x14ac:dyDescent="0.3">
      <c r="Y140" s="530"/>
      <c r="Z140" s="530"/>
      <c r="AA140" s="530"/>
      <c r="AB140" s="530"/>
      <c r="AC140" s="530"/>
      <c r="AD140" s="530"/>
      <c r="AE140" s="530"/>
      <c r="AF140" s="530"/>
      <c r="AG140" s="530"/>
      <c r="AH140" s="530"/>
    </row>
    <row r="141" spans="25:34" x14ac:dyDescent="0.3">
      <c r="Y141" s="530"/>
      <c r="Z141" s="530"/>
      <c r="AA141" s="530"/>
      <c r="AB141" s="530"/>
      <c r="AC141" s="530"/>
      <c r="AD141" s="530"/>
      <c r="AE141" s="530"/>
      <c r="AF141" s="530"/>
      <c r="AG141" s="530"/>
      <c r="AH141" s="530"/>
    </row>
    <row r="142" spans="25:34" x14ac:dyDescent="0.3">
      <c r="Y142" s="530"/>
      <c r="Z142" s="530"/>
      <c r="AA142" s="530"/>
      <c r="AB142" s="530"/>
      <c r="AC142" s="530"/>
      <c r="AD142" s="530"/>
      <c r="AE142" s="530"/>
      <c r="AF142" s="530"/>
      <c r="AG142" s="530"/>
      <c r="AH142" s="530"/>
    </row>
    <row r="143" spans="25:34" x14ac:dyDescent="0.3">
      <c r="Y143" s="530"/>
      <c r="Z143" s="530"/>
      <c r="AA143" s="530"/>
      <c r="AB143" s="530"/>
      <c r="AC143" s="530"/>
      <c r="AD143" s="530"/>
      <c r="AE143" s="530"/>
      <c r="AF143" s="530"/>
      <c r="AG143" s="530"/>
      <c r="AH143" s="530"/>
    </row>
    <row r="144" spans="25:34" x14ac:dyDescent="0.3">
      <c r="Y144" s="530"/>
      <c r="Z144" s="530"/>
      <c r="AA144" s="530"/>
      <c r="AB144" s="530"/>
      <c r="AC144" s="530"/>
      <c r="AD144" s="530"/>
      <c r="AE144" s="530"/>
      <c r="AF144" s="530"/>
      <c r="AG144" s="530"/>
      <c r="AH144" s="530"/>
    </row>
    <row r="145" spans="25:34" x14ac:dyDescent="0.3">
      <c r="Y145" s="530"/>
      <c r="Z145" s="530"/>
      <c r="AA145" s="530"/>
      <c r="AB145" s="530"/>
      <c r="AC145" s="530"/>
      <c r="AD145" s="530"/>
      <c r="AE145" s="530"/>
      <c r="AF145" s="530"/>
      <c r="AG145" s="530"/>
      <c r="AH145" s="530"/>
    </row>
    <row r="146" spans="25:34" x14ac:dyDescent="0.3">
      <c r="Y146" s="530"/>
      <c r="Z146" s="530"/>
      <c r="AA146" s="530"/>
      <c r="AB146" s="530"/>
      <c r="AC146" s="530"/>
      <c r="AD146" s="530"/>
      <c r="AE146" s="530"/>
      <c r="AF146" s="530"/>
      <c r="AG146" s="530"/>
      <c r="AH146" s="530"/>
    </row>
    <row r="147" spans="25:34" x14ac:dyDescent="0.3">
      <c r="Y147" s="530"/>
      <c r="Z147" s="530"/>
      <c r="AA147" s="530"/>
      <c r="AB147" s="530"/>
      <c r="AC147" s="530"/>
      <c r="AD147" s="530"/>
      <c r="AE147" s="530"/>
      <c r="AF147" s="530"/>
      <c r="AG147" s="530"/>
      <c r="AH147" s="530"/>
    </row>
    <row r="148" spans="25:34" x14ac:dyDescent="0.3">
      <c r="Y148" s="530"/>
      <c r="Z148" s="530"/>
      <c r="AA148" s="530"/>
      <c r="AB148" s="530"/>
      <c r="AC148" s="530"/>
      <c r="AD148" s="530"/>
      <c r="AE148" s="530"/>
      <c r="AF148" s="530"/>
      <c r="AG148" s="530"/>
      <c r="AH148" s="530"/>
    </row>
    <row r="149" spans="25:34" x14ac:dyDescent="0.3">
      <c r="Y149" s="530"/>
      <c r="Z149" s="530"/>
      <c r="AA149" s="530"/>
      <c r="AB149" s="530"/>
      <c r="AC149" s="530"/>
      <c r="AD149" s="530"/>
      <c r="AE149" s="530"/>
      <c r="AF149" s="530"/>
      <c r="AG149" s="530"/>
      <c r="AH149" s="530"/>
    </row>
    <row r="150" spans="25:34" x14ac:dyDescent="0.3">
      <c r="Y150" s="530"/>
      <c r="Z150" s="530"/>
      <c r="AA150" s="530"/>
      <c r="AB150" s="530"/>
      <c r="AC150" s="530"/>
      <c r="AD150" s="530"/>
      <c r="AE150" s="530"/>
      <c r="AF150" s="530"/>
      <c r="AG150" s="530"/>
      <c r="AH150" s="530"/>
    </row>
    <row r="151" spans="25:34" x14ac:dyDescent="0.3">
      <c r="Y151" s="530"/>
      <c r="Z151" s="530"/>
      <c r="AA151" s="530"/>
      <c r="AB151" s="530"/>
      <c r="AC151" s="530"/>
      <c r="AD151" s="530"/>
      <c r="AE151" s="530"/>
      <c r="AF151" s="530"/>
      <c r="AG151" s="530"/>
      <c r="AH151" s="530"/>
    </row>
    <row r="152" spans="25:34" x14ac:dyDescent="0.3">
      <c r="Y152" s="530"/>
      <c r="Z152" s="530"/>
      <c r="AA152" s="530"/>
      <c r="AB152" s="530"/>
      <c r="AC152" s="530"/>
      <c r="AD152" s="530"/>
      <c r="AE152" s="530"/>
      <c r="AF152" s="530"/>
      <c r="AG152" s="530"/>
      <c r="AH152" s="530"/>
    </row>
    <row r="153" spans="25:34" x14ac:dyDescent="0.3">
      <c r="Y153" s="530"/>
      <c r="Z153" s="530"/>
      <c r="AA153" s="530"/>
      <c r="AB153" s="530"/>
      <c r="AC153" s="530"/>
      <c r="AD153" s="530"/>
      <c r="AE153" s="530"/>
      <c r="AF153" s="530"/>
      <c r="AG153" s="530"/>
      <c r="AH153" s="530"/>
    </row>
    <row r="154" spans="25:34" x14ac:dyDescent="0.3">
      <c r="Y154" s="530"/>
      <c r="Z154" s="530"/>
      <c r="AA154" s="530"/>
      <c r="AB154" s="530"/>
      <c r="AC154" s="530"/>
      <c r="AD154" s="530"/>
      <c r="AE154" s="530"/>
      <c r="AF154" s="530"/>
      <c r="AG154" s="530"/>
      <c r="AH154" s="530"/>
    </row>
    <row r="155" spans="25:34" x14ac:dyDescent="0.3">
      <c r="Y155" s="530"/>
      <c r="Z155" s="530"/>
      <c r="AA155" s="530"/>
      <c r="AB155" s="530"/>
      <c r="AC155" s="530"/>
      <c r="AD155" s="530"/>
      <c r="AE155" s="530"/>
      <c r="AF155" s="530"/>
      <c r="AG155" s="530"/>
      <c r="AH155" s="530"/>
    </row>
    <row r="156" spans="25:34" x14ac:dyDescent="0.3">
      <c r="Y156" s="530"/>
      <c r="Z156" s="530"/>
      <c r="AA156" s="530"/>
      <c r="AB156" s="530"/>
      <c r="AC156" s="530"/>
      <c r="AD156" s="530"/>
      <c r="AE156" s="530"/>
      <c r="AF156" s="530"/>
      <c r="AG156" s="530"/>
      <c r="AH156" s="530"/>
    </row>
    <row r="157" spans="25:34" x14ac:dyDescent="0.3">
      <c r="Y157" s="530"/>
      <c r="Z157" s="530"/>
      <c r="AA157" s="530"/>
      <c r="AB157" s="530"/>
      <c r="AC157" s="530"/>
      <c r="AD157" s="530"/>
      <c r="AE157" s="530"/>
      <c r="AF157" s="530"/>
      <c r="AG157" s="530"/>
      <c r="AH157" s="530"/>
    </row>
    <row r="158" spans="25:34" x14ac:dyDescent="0.3">
      <c r="Y158" s="530"/>
      <c r="Z158" s="530"/>
      <c r="AA158" s="530"/>
      <c r="AB158" s="530"/>
      <c r="AC158" s="530"/>
      <c r="AD158" s="530"/>
      <c r="AE158" s="530"/>
      <c r="AF158" s="530"/>
      <c r="AG158" s="530"/>
      <c r="AH158" s="530"/>
    </row>
    <row r="159" spans="25:34" x14ac:dyDescent="0.3">
      <c r="Y159" s="530"/>
      <c r="Z159" s="530"/>
      <c r="AA159" s="530"/>
      <c r="AB159" s="530"/>
      <c r="AC159" s="530"/>
      <c r="AD159" s="530"/>
      <c r="AE159" s="530"/>
      <c r="AF159" s="530"/>
      <c r="AG159" s="530"/>
      <c r="AH159" s="530"/>
    </row>
    <row r="160" spans="25:34" x14ac:dyDescent="0.3">
      <c r="Y160" s="530"/>
      <c r="Z160" s="530"/>
      <c r="AA160" s="530"/>
      <c r="AB160" s="530"/>
      <c r="AC160" s="530"/>
      <c r="AD160" s="530"/>
      <c r="AE160" s="530"/>
      <c r="AF160" s="530"/>
      <c r="AG160" s="530"/>
      <c r="AH160" s="530"/>
    </row>
    <row r="161" spans="25:34" x14ac:dyDescent="0.3">
      <c r="Y161" s="530"/>
      <c r="Z161" s="530"/>
      <c r="AA161" s="530"/>
      <c r="AB161" s="530"/>
      <c r="AC161" s="530"/>
      <c r="AD161" s="530"/>
      <c r="AE161" s="530"/>
      <c r="AF161" s="530"/>
      <c r="AG161" s="530"/>
      <c r="AH161" s="530"/>
    </row>
    <row r="162" spans="25:34" x14ac:dyDescent="0.3">
      <c r="Y162" s="530"/>
      <c r="Z162" s="530"/>
      <c r="AA162" s="530"/>
      <c r="AB162" s="530"/>
      <c r="AC162" s="530"/>
      <c r="AD162" s="530"/>
      <c r="AE162" s="530"/>
      <c r="AF162" s="530"/>
      <c r="AG162" s="530"/>
      <c r="AH162" s="530"/>
    </row>
    <row r="163" spans="25:34" x14ac:dyDescent="0.3">
      <c r="Y163" s="530"/>
      <c r="Z163" s="530"/>
      <c r="AA163" s="530"/>
      <c r="AB163" s="530"/>
      <c r="AC163" s="530"/>
      <c r="AD163" s="530"/>
      <c r="AE163" s="530"/>
      <c r="AF163" s="530"/>
      <c r="AG163" s="530"/>
      <c r="AH163" s="530"/>
    </row>
    <row r="164" spans="25:34" x14ac:dyDescent="0.3">
      <c r="Y164" s="530"/>
      <c r="Z164" s="530"/>
      <c r="AA164" s="530"/>
      <c r="AB164" s="530"/>
      <c r="AC164" s="530"/>
      <c r="AD164" s="530"/>
      <c r="AE164" s="530"/>
      <c r="AF164" s="530"/>
      <c r="AG164" s="530"/>
      <c r="AH164" s="530"/>
    </row>
    <row r="165" spans="25:34" x14ac:dyDescent="0.3">
      <c r="Y165" s="530"/>
      <c r="Z165" s="530"/>
      <c r="AA165" s="530"/>
      <c r="AB165" s="530"/>
      <c r="AC165" s="530"/>
      <c r="AD165" s="530"/>
      <c r="AE165" s="530"/>
      <c r="AF165" s="530"/>
      <c r="AG165" s="530"/>
      <c r="AH165" s="530"/>
    </row>
    <row r="166" spans="25:34" x14ac:dyDescent="0.3">
      <c r="Y166" s="530"/>
      <c r="Z166" s="530"/>
      <c r="AA166" s="530"/>
      <c r="AB166" s="530"/>
      <c r="AC166" s="530"/>
      <c r="AD166" s="530"/>
      <c r="AE166" s="530"/>
      <c r="AF166" s="530"/>
      <c r="AG166" s="530"/>
      <c r="AH166" s="530"/>
    </row>
    <row r="167" spans="25:34" x14ac:dyDescent="0.3">
      <c r="Y167" s="530"/>
      <c r="Z167" s="530"/>
      <c r="AA167" s="530"/>
      <c r="AB167" s="530"/>
      <c r="AC167" s="530"/>
      <c r="AD167" s="530"/>
      <c r="AE167" s="530"/>
      <c r="AF167" s="530"/>
      <c r="AG167" s="530"/>
      <c r="AH167" s="530"/>
    </row>
  </sheetData>
  <mergeCells count="4">
    <mergeCell ref="C3:G3"/>
    <mergeCell ref="I3:M3"/>
    <mergeCell ref="Y3:AH3"/>
    <mergeCell ref="O3:X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5</vt:i4>
      </vt:variant>
    </vt:vector>
  </HeadingPairs>
  <TitlesOfParts>
    <vt:vector size="5" baseType="lpstr">
      <vt:lpstr>PZS_2015_osnutek_končni</vt:lpstr>
      <vt:lpstr>poročilojan-apr2015-osnutek</vt:lpstr>
      <vt:lpstr>rebalans2015,poročilo1-4</vt:lpstr>
      <vt:lpstr>NAČRT_UPOŠT. BOJANOVE PRIP.</vt:lpstr>
      <vt:lpstr>POROČILO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Bojan Rotovnik</dc:creator>
  <cp:lastModifiedBy>Dušan Prašnikar</cp:lastModifiedBy>
  <cp:lastPrinted>2024-01-17T15:08:23Z</cp:lastPrinted>
  <dcterms:created xsi:type="dcterms:W3CDTF">2013-10-31T07:52:32Z</dcterms:created>
  <dcterms:modified xsi:type="dcterms:W3CDTF">2024-02-29T14:04:53Z</dcterms:modified>
</cp:coreProperties>
</file>